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ml.chartshapes+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24226"/>
  <xr:revisionPtr revIDLastSave="0" documentId="13_ncr:1_{4B417FA8-FABB-4EB0-A7CA-FFDC5B815216}" xr6:coauthVersionLast="47" xr6:coauthVersionMax="47" xr10:uidLastSave="{00000000-0000-0000-0000-000000000000}"/>
  <bookViews>
    <workbookView xWindow="-120" yWindow="-120" windowWidth="29040" windowHeight="15720" firstSheet="1" activeTab="1" xr2:uid="{00000000-000D-0000-FFFF-FFFF00000000}"/>
  </bookViews>
  <sheets>
    <sheet name="saīsinājumi_LV_ENG" sheetId="9" state="hidden" r:id="rId1"/>
    <sheet name="Fin_progress" sheetId="1" r:id="rId2"/>
    <sheet name="PV" sheetId="6" r:id="rId3"/>
    <sheet name="AI" sheetId="5" r:id="rId4"/>
    <sheet name="EK_maksājumi" sheetId="10" r:id="rId5"/>
    <sheet name="Grafiks" sheetId="7" r:id="rId6"/>
    <sheet name="Grafiks_pa_investīciju_jomām" sheetId="57" r:id="rId7"/>
    <sheet name="Pasākumu_līmenis" sheetId="2" state="hidden" r:id="rId8"/>
    <sheet name="AtskaiteStatusuTabula" sheetId="8" state="hidden" r:id="rId9"/>
    <sheet name="Grafiks_brīvais_fin_pa_AI" sheetId="16" state="hidden" r:id="rId10"/>
    <sheet name="2. Intervences kategorijas - Pa" sheetId="11" state="hidden" r:id="rId11"/>
  </sheets>
  <definedNames>
    <definedName name="_xlnm._FilterDatabase" localSheetId="8" hidden="1">AtskaiteStatusuTabula!$B$21:$AJ$229</definedName>
    <definedName name="_xlnm._FilterDatabase" localSheetId="1" hidden="1">Fin_progress!$A$15:$AL$362</definedName>
    <definedName name="_xlnm._FilterDatabase" localSheetId="9" hidden="1">Grafiks_brīvais_fin_pa_AI!$C$3:$N$3</definedName>
    <definedName name="_xlnm._FilterDatabase" localSheetId="7" hidden="1">Pasākumu_līmenis!$A$14:$AL$180</definedName>
    <definedName name="_xlnm._FilterDatabase" localSheetId="0" hidden="1">saīsinājumi_LV_ENG!$A$6:$D$223</definedName>
    <definedName name="_Hlk63345331" localSheetId="7">Pasākumu_līmenis!#REF!</definedName>
    <definedName name="_xlnm.Print_Area" localSheetId="1">Fin_progress!$A$1:$AL$247</definedName>
    <definedName name="_xlnm.Print_Area" localSheetId="9">Grafiks_brīvais_fin_pa_AI!$B$1:$N$18</definedName>
    <definedName name="_xlnm.Print_Titles" localSheetId="1">Fin_progress!$3:$5</definedName>
    <definedName name="_xlnm.Print_Titles" localSheetId="7">Pasākumu_līmenis!$3:$5</definedName>
    <definedName name="_xlnm.Print_Titles" localSheetId="2">PV!$3:$5</definedName>
    <definedName name="_xlnm.Print_Titles" localSheetId="0">saīsinājumi_LV_ENG!$3:$5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L1" i="2" l="1" a="1"/>
  <c r="AL1" i="2" s="1"/>
  <c r="AL2" i="2" s="1"/>
  <c r="A1" i="2" s="1"/>
  <c r="C2" i="7" s="1"/>
  <c r="A1" i="57" l="1"/>
  <c r="A14" i="7"/>
  <c r="X49" i="2"/>
  <c r="Q49" i="2"/>
  <c r="J49" i="2"/>
  <c r="G64" i="5" l="1"/>
  <c r="G77" i="5" s="1"/>
  <c r="F64" i="5"/>
  <c r="G76" i="5"/>
  <c r="G65" i="5"/>
  <c r="F65" i="5"/>
  <c r="G47" i="6"/>
  <c r="E47" i="6"/>
  <c r="N52" i="2"/>
  <c r="U52" i="2"/>
  <c r="Q52" i="2"/>
  <c r="J52" i="2"/>
  <c r="AE172" i="2"/>
  <c r="X172" i="2"/>
  <c r="Q172" i="2"/>
  <c r="J172" i="2"/>
  <c r="H64" i="5" l="1"/>
  <c r="F154" i="2"/>
  <c r="G178" i="2"/>
  <c r="F178" i="2"/>
  <c r="AB8" i="2" l="1"/>
  <c r="U8" i="2"/>
  <c r="N8" i="2"/>
  <c r="G12" i="2"/>
  <c r="G11" i="2"/>
  <c r="G10" i="2"/>
  <c r="G8" i="2"/>
  <c r="G7" i="2"/>
  <c r="F12" i="2"/>
  <c r="F8" i="2"/>
  <c r="E51" i="6"/>
  <c r="H56" i="6"/>
  <c r="F234" i="1"/>
  <c r="E234" i="1"/>
  <c r="G234" i="1"/>
  <c r="G233" i="1" s="1"/>
  <c r="H234" i="1"/>
  <c r="H233" i="1" s="1"/>
  <c r="C29" i="6" s="1"/>
  <c r="B56" i="6" s="1"/>
  <c r="I234" i="1"/>
  <c r="I233" i="1" s="1"/>
  <c r="D29" i="6" s="1"/>
  <c r="C56" i="6" s="1"/>
  <c r="L234" i="1"/>
  <c r="P234" i="1"/>
  <c r="P233" i="1" s="1"/>
  <c r="K29" i="6" s="1"/>
  <c r="S234" i="1"/>
  <c r="W234" i="1"/>
  <c r="W233" i="1" s="1"/>
  <c r="P29" i="6" s="1"/>
  <c r="Z234" i="1"/>
  <c r="AG234" i="1"/>
  <c r="B29" i="6"/>
  <c r="B234" i="1"/>
  <c r="A234" i="1"/>
  <c r="F67" i="5"/>
  <c r="C9" i="5"/>
  <c r="G171" i="2"/>
  <c r="I171" i="2"/>
  <c r="J171" i="2"/>
  <c r="N171" i="2"/>
  <c r="Q171" i="2"/>
  <c r="U171" i="2"/>
  <c r="X171" i="2"/>
  <c r="AE171" i="2"/>
  <c r="F171" i="2"/>
  <c r="F166" i="2"/>
  <c r="H172" i="2"/>
  <c r="J234" i="1" s="1"/>
  <c r="J233" i="1" s="1"/>
  <c r="E29" i="6" s="1"/>
  <c r="AF172" i="2"/>
  <c r="AG172" i="2" s="1"/>
  <c r="AH172" i="2"/>
  <c r="Y172" i="2"/>
  <c r="Z172" i="2" s="1"/>
  <c r="AA172" i="2"/>
  <c r="AB172" i="2"/>
  <c r="AB171" i="2" s="1"/>
  <c r="R172" i="2"/>
  <c r="S172" i="2" s="1"/>
  <c r="S171" i="2" s="1"/>
  <c r="T172" i="2"/>
  <c r="T171" i="2" s="1"/>
  <c r="K172" i="2"/>
  <c r="L172" i="2" s="1"/>
  <c r="L171" i="2" s="1"/>
  <c r="M172" i="2"/>
  <c r="F175" i="2"/>
  <c r="F189" i="2"/>
  <c r="S233" i="1" l="1"/>
  <c r="V234" i="1"/>
  <c r="T234" i="1"/>
  <c r="AF171" i="2"/>
  <c r="L233" i="1"/>
  <c r="M234" i="1"/>
  <c r="N234" i="1" s="1"/>
  <c r="O234" i="1"/>
  <c r="AG233" i="1"/>
  <c r="AH234" i="1"/>
  <c r="AI234" i="1" s="1"/>
  <c r="AJ234" i="1"/>
  <c r="Z233" i="1"/>
  <c r="AA234" i="1"/>
  <c r="AC234" i="1"/>
  <c r="AA171" i="2"/>
  <c r="AG171" i="2"/>
  <c r="M171" i="2"/>
  <c r="AD234" i="1"/>
  <c r="AD233" i="1" s="1"/>
  <c r="U29" i="6" s="1"/>
  <c r="K171" i="2"/>
  <c r="AH171" i="2"/>
  <c r="Z171" i="2"/>
  <c r="R171" i="2"/>
  <c r="Y171" i="2"/>
  <c r="H171" i="2"/>
  <c r="K234" i="1"/>
  <c r="K233" i="1" s="1"/>
  <c r="D56" i="6"/>
  <c r="I56" i="6"/>
  <c r="AL171" i="2"/>
  <c r="AB234" i="1" l="1"/>
  <c r="G29" i="6"/>
  <c r="O233" i="1"/>
  <c r="J29" i="6" s="1"/>
  <c r="M233" i="1"/>
  <c r="U234" i="1"/>
  <c r="Q29" i="6"/>
  <c r="AC233" i="1"/>
  <c r="T29" i="6" s="1"/>
  <c r="AA233" i="1"/>
  <c r="V29" i="6"/>
  <c r="AH233" i="1"/>
  <c r="AJ233" i="1"/>
  <c r="Y29" i="6" s="1"/>
  <c r="L29" i="6"/>
  <c r="V233" i="1"/>
  <c r="O29" i="6" s="1"/>
  <c r="T233" i="1"/>
  <c r="B170" i="2"/>
  <c r="AB233" i="1" l="1"/>
  <c r="S29" i="6" s="1"/>
  <c r="R29" i="6"/>
  <c r="U233" i="1"/>
  <c r="N29" i="6" s="1"/>
  <c r="M29" i="6"/>
  <c r="N233" i="1"/>
  <c r="I29" i="6" s="1"/>
  <c r="H29" i="6"/>
  <c r="AI233" i="1"/>
  <c r="X29" i="6" s="1"/>
  <c r="W29" i="6"/>
  <c r="J195" i="2"/>
  <c r="J196" i="2"/>
  <c r="Q57" i="2" l="1"/>
  <c r="I27" i="1" l="1"/>
  <c r="E52" i="6" l="1"/>
  <c r="F69" i="5"/>
  <c r="B128" i="2" l="1"/>
  <c r="AB163" i="2"/>
  <c r="AB165" i="2"/>
  <c r="F41" i="2" l="1"/>
  <c r="F35" i="2"/>
  <c r="F156" i="2"/>
  <c r="F165" i="2"/>
  <c r="F71" i="2"/>
  <c r="F68" i="2"/>
  <c r="F106" i="2" l="1"/>
  <c r="F7" i="2" l="1"/>
  <c r="AB70" i="2"/>
  <c r="J162" i="2"/>
  <c r="N162" i="2" l="1"/>
  <c r="U162" i="2"/>
  <c r="U70" i="2" s="1"/>
  <c r="J159" i="2" l="1"/>
  <c r="AB15" i="2" l="1"/>
  <c r="AB104" i="2"/>
  <c r="AB144" i="2"/>
  <c r="N167" i="2"/>
  <c r="U167" i="2"/>
  <c r="N164" i="2"/>
  <c r="N144" i="2" s="1"/>
  <c r="U164" i="2"/>
  <c r="U144" i="2" s="1"/>
  <c r="N161" i="2"/>
  <c r="U161" i="2"/>
  <c r="N158" i="2"/>
  <c r="N15" i="2" s="1"/>
  <c r="U158" i="2"/>
  <c r="U15" i="2" s="1"/>
  <c r="AB51" i="2"/>
  <c r="U104" i="2" l="1"/>
  <c r="N104" i="2"/>
  <c r="AE155" i="2"/>
  <c r="AB60" i="2"/>
  <c r="U60" i="2"/>
  <c r="N60" i="2"/>
  <c r="X60" i="2" l="1"/>
  <c r="Q60" i="2"/>
  <c r="J60" i="2"/>
  <c r="Q99" i="2" l="1"/>
  <c r="G85" i="5"/>
  <c r="G81" i="5"/>
  <c r="G80" i="5"/>
  <c r="H62" i="6"/>
  <c r="Z1" i="57"/>
  <c r="X41" i="2" l="1"/>
  <c r="Q41" i="2"/>
  <c r="AE36" i="2" l="1"/>
  <c r="X36" i="2"/>
  <c r="Q36" i="2"/>
  <c r="J36" i="2"/>
  <c r="AE41" i="2"/>
  <c r="J41" i="2"/>
  <c r="AE157" i="2"/>
  <c r="X157" i="2"/>
  <c r="Q157" i="2"/>
  <c r="J157" i="2"/>
  <c r="AE156" i="2"/>
  <c r="X156" i="2"/>
  <c r="Q156" i="2"/>
  <c r="J156" i="2"/>
  <c r="AE167" i="2" l="1"/>
  <c r="X167" i="2"/>
  <c r="Q167" i="2"/>
  <c r="J167" i="2"/>
  <c r="AE104" i="2"/>
  <c r="X104" i="2"/>
  <c r="Q104" i="2"/>
  <c r="J104" i="2"/>
  <c r="AE165" i="2"/>
  <c r="X165" i="2"/>
  <c r="Q165" i="2"/>
  <c r="J165" i="2"/>
  <c r="AE25" i="2"/>
  <c r="X25" i="2"/>
  <c r="Q25" i="2"/>
  <c r="J25" i="2"/>
  <c r="K60" i="2" l="1"/>
  <c r="D48" i="1"/>
  <c r="AE154" i="2"/>
  <c r="J193" i="2" l="1"/>
  <c r="C36" i="5" l="1"/>
  <c r="B36" i="5"/>
  <c r="AE60" i="2" l="1"/>
  <c r="C49" i="5"/>
  <c r="B49" i="5"/>
  <c r="F72" i="5"/>
  <c r="E48" i="6"/>
  <c r="G189" i="2"/>
  <c r="J190" i="2"/>
  <c r="J191" i="2"/>
  <c r="C14" i="5"/>
  <c r="B14" i="5"/>
  <c r="F63" i="2" l="1"/>
  <c r="AE23" i="2" l="1"/>
  <c r="Q23" i="2"/>
  <c r="X23" i="2"/>
  <c r="J23" i="2"/>
  <c r="C46" i="5"/>
  <c r="C80" i="5" s="1"/>
  <c r="H218" i="1"/>
  <c r="I218" i="1"/>
  <c r="K218" i="1"/>
  <c r="H219" i="1"/>
  <c r="I219" i="1"/>
  <c r="J219" i="1"/>
  <c r="K219" i="1"/>
  <c r="F218" i="1"/>
  <c r="F219" i="1"/>
  <c r="E218" i="1"/>
  <c r="E219" i="1"/>
  <c r="F36" i="2" l="1"/>
  <c r="H156" i="2"/>
  <c r="N156" i="2"/>
  <c r="P218" i="1" s="1"/>
  <c r="U156" i="2"/>
  <c r="W218" i="1" s="1"/>
  <c r="AB156" i="2"/>
  <c r="AD218" i="1" s="1"/>
  <c r="N157" i="2"/>
  <c r="P219" i="1" s="1"/>
  <c r="U157" i="2"/>
  <c r="W219" i="1" s="1"/>
  <c r="AB157" i="2"/>
  <c r="AD219" i="1" s="1"/>
  <c r="J218" i="1" l="1"/>
  <c r="R156" i="2"/>
  <c r="S156" i="2" s="1"/>
  <c r="S218" i="1"/>
  <c r="AH156" i="2"/>
  <c r="AG218" i="1"/>
  <c r="K156" i="2"/>
  <c r="L156" i="2" s="1"/>
  <c r="L218" i="1"/>
  <c r="M157" i="2"/>
  <c r="L219" i="1"/>
  <c r="AA157" i="2"/>
  <c r="Z219" i="1"/>
  <c r="AF157" i="2"/>
  <c r="AG157" i="2" s="1"/>
  <c r="AG219" i="1"/>
  <c r="Y156" i="2"/>
  <c r="Z156" i="2" s="1"/>
  <c r="Z218" i="1"/>
  <c r="R157" i="2"/>
  <c r="S157" i="2" s="1"/>
  <c r="S219" i="1"/>
  <c r="T156" i="2"/>
  <c r="AF156" i="2"/>
  <c r="AG156" i="2" s="1"/>
  <c r="M156" i="2"/>
  <c r="AA156" i="2"/>
  <c r="K157" i="2"/>
  <c r="L157" i="2" s="1"/>
  <c r="T157" i="2"/>
  <c r="Y157" i="2"/>
  <c r="Z157" i="2" s="1"/>
  <c r="AH157" i="2"/>
  <c r="AJ219" i="1" l="1"/>
  <c r="AH219" i="1"/>
  <c r="AI219" i="1" s="1"/>
  <c r="M218" i="1"/>
  <c r="N218" i="1" s="1"/>
  <c r="O218" i="1"/>
  <c r="T219" i="1"/>
  <c r="U219" i="1" s="1"/>
  <c r="V219" i="1"/>
  <c r="AC219" i="1"/>
  <c r="AA219" i="1"/>
  <c r="AB219" i="1" s="1"/>
  <c r="AH218" i="1"/>
  <c r="AI218" i="1" s="1"/>
  <c r="AJ218" i="1"/>
  <c r="V218" i="1"/>
  <c r="T218" i="1"/>
  <c r="U218" i="1" s="1"/>
  <c r="AC218" i="1"/>
  <c r="AA218" i="1"/>
  <c r="AB218" i="1" s="1"/>
  <c r="O219" i="1"/>
  <c r="M219" i="1"/>
  <c r="N219" i="1" s="1"/>
  <c r="AE168" i="2" l="1"/>
  <c r="X168" i="2"/>
  <c r="Q168" i="2"/>
  <c r="J168" i="2"/>
  <c r="AE110" i="2"/>
  <c r="X110" i="2"/>
  <c r="Q110" i="2"/>
  <c r="J110" i="2"/>
  <c r="AE160" i="2"/>
  <c r="X160" i="2"/>
  <c r="Q160" i="2"/>
  <c r="J160" i="2"/>
  <c r="Q159" i="2"/>
  <c r="X159" i="2"/>
  <c r="AE159" i="2"/>
  <c r="AE99" i="2"/>
  <c r="X99" i="2"/>
  <c r="J99" i="2"/>
  <c r="F39" i="2"/>
  <c r="F38" i="2"/>
  <c r="F11" i="2"/>
  <c r="F204" i="2"/>
  <c r="F203" i="2"/>
  <c r="F202" i="2"/>
  <c r="F201" i="2"/>
  <c r="F200" i="2"/>
  <c r="F179" i="2" l="1"/>
  <c r="F81" i="5"/>
  <c r="F80" i="5"/>
  <c r="O14" i="16" s="1"/>
  <c r="F85" i="5"/>
  <c r="F84" i="5"/>
  <c r="B46" i="5"/>
  <c r="F60" i="6"/>
  <c r="C47" i="5" l="1"/>
  <c r="B47" i="5"/>
  <c r="H220" i="1"/>
  <c r="I220" i="1"/>
  <c r="K220" i="1"/>
  <c r="F220" i="1"/>
  <c r="E220" i="1"/>
  <c r="B220" i="1"/>
  <c r="AE15" i="2"/>
  <c r="X15" i="2"/>
  <c r="Q15" i="2"/>
  <c r="W220" i="1"/>
  <c r="P220" i="1"/>
  <c r="AD220" i="1"/>
  <c r="AE158" i="2"/>
  <c r="AF158" i="2" s="1"/>
  <c r="AG158" i="2" s="1"/>
  <c r="X158" i="2"/>
  <c r="Q158" i="2"/>
  <c r="R158" i="2" s="1"/>
  <c r="S158" i="2" s="1"/>
  <c r="J158" i="2"/>
  <c r="J15" i="2"/>
  <c r="K158" i="2" l="1"/>
  <c r="L158" i="2" s="1"/>
  <c r="AA158" i="2"/>
  <c r="AG220" i="1"/>
  <c r="AH220" i="1" s="1"/>
  <c r="AI220" i="1" s="1"/>
  <c r="S220" i="1"/>
  <c r="V220" i="1" s="1"/>
  <c r="Z220" i="1"/>
  <c r="AC220" i="1" s="1"/>
  <c r="L220" i="1"/>
  <c r="O220" i="1" s="1"/>
  <c r="Y158" i="2"/>
  <c r="Z158" i="2" s="1"/>
  <c r="T158" i="2"/>
  <c r="AH158" i="2"/>
  <c r="M158" i="2"/>
  <c r="AJ220" i="1" l="1"/>
  <c r="M220" i="1"/>
  <c r="N220" i="1" s="1"/>
  <c r="T220" i="1"/>
  <c r="U220" i="1" s="1"/>
  <c r="AA220" i="1"/>
  <c r="AB220" i="1" s="1"/>
  <c r="G15" i="2"/>
  <c r="F15" i="2"/>
  <c r="G9" i="2" l="1"/>
  <c r="C11" i="5"/>
  <c r="H15" i="2"/>
  <c r="H158" i="2"/>
  <c r="J220" i="1" s="1"/>
  <c r="AE170" i="2" l="1"/>
  <c r="AE140" i="2" s="1"/>
  <c r="X170" i="2"/>
  <c r="Q170" i="2"/>
  <c r="Q140" i="2" s="1"/>
  <c r="J170" i="2"/>
  <c r="AE169" i="2"/>
  <c r="X169" i="2"/>
  <c r="Q169" i="2"/>
  <c r="J169" i="2"/>
  <c r="F48" i="2"/>
  <c r="Q87" i="2" l="1"/>
  <c r="Q12" i="2"/>
  <c r="J12" i="2"/>
  <c r="AE87" i="2"/>
  <c r="AE12" i="2"/>
  <c r="X12" i="2"/>
  <c r="F153" i="2"/>
  <c r="X87" i="2"/>
  <c r="X140" i="2"/>
  <c r="J87" i="2"/>
  <c r="J140" i="2"/>
  <c r="AE164" i="2" l="1"/>
  <c r="Q164" i="2"/>
  <c r="J164" i="2"/>
  <c r="G6" i="16" l="1"/>
  <c r="G7" i="16"/>
  <c r="G8" i="16"/>
  <c r="G15" i="16"/>
  <c r="G5" i="16"/>
  <c r="F47" i="5" l="1"/>
  <c r="J200" i="2"/>
  <c r="J201" i="2"/>
  <c r="J202" i="2"/>
  <c r="J203" i="2"/>
  <c r="J204" i="2"/>
  <c r="G9" i="16"/>
  <c r="B204" i="2"/>
  <c r="G10" i="16" l="1"/>
  <c r="C59" i="5"/>
  <c r="G11" i="16"/>
  <c r="B203" i="2"/>
  <c r="B202" i="2"/>
  <c r="B200" i="2"/>
  <c r="F219" i="2"/>
  <c r="B219" i="2"/>
  <c r="F208" i="2"/>
  <c r="B208" i="2"/>
  <c r="B223" i="2"/>
  <c r="B222" i="2"/>
  <c r="B221" i="2"/>
  <c r="B220" i="2"/>
  <c r="B217" i="2"/>
  <c r="B216" i="2"/>
  <c r="B215" i="2"/>
  <c r="B214" i="2"/>
  <c r="B213" i="2"/>
  <c r="B212" i="2"/>
  <c r="B210" i="2"/>
  <c r="B209" i="2"/>
  <c r="I237" i="1" l="1"/>
  <c r="G13" i="16"/>
  <c r="G14" i="16"/>
  <c r="G61" i="6"/>
  <c r="G60" i="6" s="1"/>
  <c r="G179" i="2"/>
  <c r="G6" i="2" s="1"/>
  <c r="G12" i="16"/>
  <c r="F199" i="2"/>
  <c r="E61" i="6"/>
  <c r="E60" i="6" s="1"/>
  <c r="C58" i="5" l="1"/>
  <c r="I236" i="1"/>
  <c r="B80" i="5" l="1"/>
  <c r="B227" i="1"/>
  <c r="E227" i="1"/>
  <c r="F227" i="1"/>
  <c r="H227" i="1"/>
  <c r="I227" i="1"/>
  <c r="K227" i="1"/>
  <c r="G153" i="2"/>
  <c r="AH165" i="2"/>
  <c r="AD227" i="1"/>
  <c r="AA165" i="2"/>
  <c r="U165" i="2"/>
  <c r="T165" i="2"/>
  <c r="N165" i="2"/>
  <c r="P227" i="1" s="1"/>
  <c r="I80" i="5" l="1"/>
  <c r="L227" i="1"/>
  <c r="O227" i="1" s="1"/>
  <c r="K165" i="2"/>
  <c r="L165" i="2" s="1"/>
  <c r="M165" i="2"/>
  <c r="Z227" i="1"/>
  <c r="AC227" i="1" s="1"/>
  <c r="R165" i="2"/>
  <c r="S165" i="2" s="1"/>
  <c r="W227" i="1"/>
  <c r="Y165" i="2"/>
  <c r="Z165" i="2" s="1"/>
  <c r="S227" i="1"/>
  <c r="AG227" i="1"/>
  <c r="AF165" i="2"/>
  <c r="AG165" i="2" s="1"/>
  <c r="H165" i="2"/>
  <c r="J227" i="1" s="1"/>
  <c r="B153" i="2"/>
  <c r="B154" i="2"/>
  <c r="B155" i="2"/>
  <c r="B159" i="2"/>
  <c r="B160" i="2"/>
  <c r="B161" i="2"/>
  <c r="B162" i="2"/>
  <c r="B163" i="2"/>
  <c r="B164" i="2"/>
  <c r="B166" i="2"/>
  <c r="B167" i="2"/>
  <c r="B168" i="2"/>
  <c r="B169" i="2"/>
  <c r="B215" i="1"/>
  <c r="B27" i="6" s="1"/>
  <c r="B216" i="1"/>
  <c r="B217" i="1"/>
  <c r="B221" i="1"/>
  <c r="B222" i="1"/>
  <c r="B223" i="1"/>
  <c r="B224" i="1"/>
  <c r="B225" i="1"/>
  <c r="B226" i="1"/>
  <c r="B228" i="1"/>
  <c r="B28" i="6" s="1"/>
  <c r="B229" i="1"/>
  <c r="B230" i="1"/>
  <c r="B231" i="1"/>
  <c r="B232" i="1"/>
  <c r="M227" i="1" l="1"/>
  <c r="N227" i="1" s="1"/>
  <c r="V227" i="1"/>
  <c r="T227" i="1"/>
  <c r="U227" i="1" s="1"/>
  <c r="AA227" i="1"/>
  <c r="AB227" i="1" s="1"/>
  <c r="AH227" i="1"/>
  <c r="AI227" i="1" s="1"/>
  <c r="AJ227" i="1"/>
  <c r="AE144" i="2"/>
  <c r="X164" i="2"/>
  <c r="Q144" i="2"/>
  <c r="J144" i="2"/>
  <c r="X144" i="2" l="1"/>
  <c r="E231" i="1" l="1"/>
  <c r="F231" i="1"/>
  <c r="H231" i="1"/>
  <c r="I231" i="1"/>
  <c r="K231" i="1"/>
  <c r="E205" i="1"/>
  <c r="F205" i="1"/>
  <c r="G205" i="1"/>
  <c r="H205" i="1"/>
  <c r="I205" i="1"/>
  <c r="K205" i="1"/>
  <c r="L231" i="1" l="1"/>
  <c r="O231" i="1" s="1"/>
  <c r="M231" i="1" l="1"/>
  <c r="N231" i="1" s="1"/>
  <c r="B54" i="5"/>
  <c r="C54" i="5"/>
  <c r="F53" i="5"/>
  <c r="C53" i="5"/>
  <c r="B53" i="5"/>
  <c r="B83" i="5" s="1"/>
  <c r="I83" i="5" s="1"/>
  <c r="B52" i="5"/>
  <c r="C52" i="5"/>
  <c r="E51" i="5"/>
  <c r="C35" i="5"/>
  <c r="B35" i="5"/>
  <c r="C13" i="5"/>
  <c r="B13" i="5"/>
  <c r="H83" i="5"/>
  <c r="H169" i="2"/>
  <c r="J231" i="1" s="1"/>
  <c r="K169" i="2"/>
  <c r="L169" i="2" s="1"/>
  <c r="N169" i="2"/>
  <c r="P231" i="1" s="1"/>
  <c r="T169" i="2"/>
  <c r="U169" i="2"/>
  <c r="W231" i="1" s="1"/>
  <c r="AB169" i="2"/>
  <c r="AD231" i="1" s="1"/>
  <c r="L53" i="5"/>
  <c r="AE54" i="2"/>
  <c r="AB54" i="2"/>
  <c r="X54" i="2"/>
  <c r="U54" i="2"/>
  <c r="N54" i="2"/>
  <c r="Q54" i="2"/>
  <c r="J54" i="2"/>
  <c r="F119" i="2"/>
  <c r="J143" i="2"/>
  <c r="N143" i="2"/>
  <c r="P205" i="1" s="1"/>
  <c r="Q143" i="2"/>
  <c r="U143" i="2"/>
  <c r="W205" i="1" s="1"/>
  <c r="X143" i="2"/>
  <c r="AB143" i="2"/>
  <c r="AD205" i="1" s="1"/>
  <c r="AE143" i="2"/>
  <c r="AG205" i="1" s="1"/>
  <c r="H143" i="2"/>
  <c r="J205" i="1" s="1"/>
  <c r="B69" i="5" l="1"/>
  <c r="M53" i="5"/>
  <c r="J53" i="5"/>
  <c r="K53" i="5" s="1"/>
  <c r="D53" i="5"/>
  <c r="AF143" i="2"/>
  <c r="AG143" i="2" s="1"/>
  <c r="Y143" i="2"/>
  <c r="Z143" i="2" s="1"/>
  <c r="Z205" i="1"/>
  <c r="R169" i="2"/>
  <c r="S169" i="2" s="1"/>
  <c r="S231" i="1"/>
  <c r="AJ205" i="1"/>
  <c r="AH205" i="1"/>
  <c r="AI205" i="1" s="1"/>
  <c r="T143" i="2"/>
  <c r="S205" i="1"/>
  <c r="G53" i="5"/>
  <c r="C51" i="5"/>
  <c r="Y169" i="2"/>
  <c r="Z169" i="2" s="1"/>
  <c r="Z231" i="1"/>
  <c r="AH143" i="2"/>
  <c r="K143" i="2"/>
  <c r="L143" i="2" s="1"/>
  <c r="L205" i="1"/>
  <c r="AF169" i="2"/>
  <c r="AG169" i="2" s="1"/>
  <c r="AG231" i="1"/>
  <c r="H53" i="5"/>
  <c r="I53" i="5" s="1"/>
  <c r="D54" i="5"/>
  <c r="B51" i="5"/>
  <c r="AA169" i="2"/>
  <c r="M169" i="2"/>
  <c r="AH169" i="2"/>
  <c r="AA143" i="2"/>
  <c r="R143" i="2"/>
  <c r="S143" i="2" s="1"/>
  <c r="M143" i="2"/>
  <c r="V205" i="1" l="1"/>
  <c r="T205" i="1"/>
  <c r="U205" i="1" s="1"/>
  <c r="O205" i="1"/>
  <c r="M205" i="1"/>
  <c r="N205" i="1" s="1"/>
  <c r="AA231" i="1"/>
  <c r="AB231" i="1" s="1"/>
  <c r="AC231" i="1"/>
  <c r="T231" i="1"/>
  <c r="U231" i="1" s="1"/>
  <c r="V231" i="1"/>
  <c r="AC205" i="1"/>
  <c r="AA205" i="1"/>
  <c r="AB205" i="1" s="1"/>
  <c r="AH231" i="1"/>
  <c r="AI231" i="1" s="1"/>
  <c r="AJ231" i="1"/>
  <c r="N70" i="2" l="1"/>
  <c r="U51" i="2"/>
  <c r="N51" i="2"/>
  <c r="AE162" i="2"/>
  <c r="AE70" i="2" s="1"/>
  <c r="X162" i="2"/>
  <c r="Q162" i="2"/>
  <c r="Q70" i="2" s="1"/>
  <c r="AE161" i="2"/>
  <c r="X161" i="2"/>
  <c r="Q161" i="2"/>
  <c r="J161" i="2"/>
  <c r="AE93" i="2"/>
  <c r="X93" i="2"/>
  <c r="Q93" i="2"/>
  <c r="J93" i="2"/>
  <c r="AE91" i="2"/>
  <c r="X91" i="2"/>
  <c r="Q91" i="2"/>
  <c r="J91" i="2"/>
  <c r="F43" i="6"/>
  <c r="B81" i="5"/>
  <c r="C43" i="5"/>
  <c r="B43" i="5"/>
  <c r="C48" i="5"/>
  <c r="B48" i="5"/>
  <c r="B82" i="5" s="1"/>
  <c r="C12" i="5"/>
  <c r="B12" i="5"/>
  <c r="E225" i="1"/>
  <c r="F225" i="1"/>
  <c r="H225" i="1"/>
  <c r="I225" i="1"/>
  <c r="K225" i="1"/>
  <c r="B119" i="1"/>
  <c r="E119" i="1"/>
  <c r="F119" i="1"/>
  <c r="H119" i="1"/>
  <c r="I119" i="1"/>
  <c r="F72" i="2"/>
  <c r="L54" i="5"/>
  <c r="M54" i="5" s="1"/>
  <c r="AE163" i="2"/>
  <c r="L47" i="5"/>
  <c r="AE152" i="2"/>
  <c r="AE150" i="2"/>
  <c r="AE147" i="2"/>
  <c r="AE148" i="2"/>
  <c r="AE146" i="2"/>
  <c r="AE137" i="2"/>
  <c r="AE138" i="2"/>
  <c r="AE139" i="2"/>
  <c r="AE141" i="2"/>
  <c r="AE142" i="2"/>
  <c r="AE121" i="2"/>
  <c r="AE122" i="2"/>
  <c r="AE123" i="2"/>
  <c r="AE124" i="2"/>
  <c r="AE125" i="2"/>
  <c r="AE126" i="2"/>
  <c r="AE127" i="2"/>
  <c r="AE128" i="2"/>
  <c r="AE129" i="2"/>
  <c r="AE130" i="2"/>
  <c r="AE131" i="2"/>
  <c r="AE132" i="2"/>
  <c r="AE133" i="2"/>
  <c r="AE134" i="2"/>
  <c r="AE135" i="2"/>
  <c r="AE136" i="2"/>
  <c r="AE120" i="2"/>
  <c r="AE100" i="2"/>
  <c r="AE101" i="2"/>
  <c r="AE102" i="2"/>
  <c r="AE103" i="2"/>
  <c r="AE105" i="2"/>
  <c r="AE106" i="2"/>
  <c r="AE107" i="2"/>
  <c r="AE108" i="2"/>
  <c r="AE109" i="2"/>
  <c r="AE111" i="2"/>
  <c r="AE112" i="2"/>
  <c r="AE113" i="2"/>
  <c r="AE114" i="2"/>
  <c r="AE115" i="2"/>
  <c r="AE116" i="2"/>
  <c r="AE117" i="2"/>
  <c r="AE118" i="2"/>
  <c r="AE98" i="2"/>
  <c r="AE95" i="2"/>
  <c r="AE96" i="2"/>
  <c r="AE94" i="2"/>
  <c r="AE92" i="2"/>
  <c r="AE88" i="2"/>
  <c r="AE89" i="2"/>
  <c r="AE90" i="2"/>
  <c r="AE74" i="2"/>
  <c r="AE75" i="2"/>
  <c r="AE76" i="2"/>
  <c r="AE77" i="2"/>
  <c r="AE78" i="2"/>
  <c r="AE79" i="2"/>
  <c r="AE80" i="2"/>
  <c r="AE81" i="2"/>
  <c r="AE82" i="2"/>
  <c r="AF82" i="2" s="1"/>
  <c r="AG82" i="2" s="1"/>
  <c r="AE83" i="2"/>
  <c r="AE84" i="2"/>
  <c r="AE85" i="2"/>
  <c r="AE73" i="2"/>
  <c r="AE62" i="2"/>
  <c r="AE63" i="2"/>
  <c r="AE64" i="2"/>
  <c r="AE65" i="2"/>
  <c r="AE66" i="2"/>
  <c r="AE67" i="2"/>
  <c r="AE68" i="2"/>
  <c r="AE69" i="2"/>
  <c r="AE71" i="2"/>
  <c r="AE61" i="2"/>
  <c r="AE58" i="2"/>
  <c r="AE59" i="2"/>
  <c r="AE57" i="2"/>
  <c r="AE50" i="2"/>
  <c r="AE52" i="2"/>
  <c r="AE53" i="2"/>
  <c r="AE55" i="2"/>
  <c r="AE48" i="2"/>
  <c r="AE42" i="2"/>
  <c r="AE43" i="2"/>
  <c r="AE44" i="2"/>
  <c r="AE45" i="2"/>
  <c r="AE46" i="2"/>
  <c r="AE40" i="2"/>
  <c r="AE35" i="2"/>
  <c r="AE33" i="2"/>
  <c r="AE28" i="2"/>
  <c r="AE29" i="2"/>
  <c r="AE27" i="2"/>
  <c r="AE16" i="2"/>
  <c r="AE17" i="2"/>
  <c r="AE18" i="2"/>
  <c r="AE19" i="2"/>
  <c r="AE20" i="2"/>
  <c r="AE21" i="2"/>
  <c r="AE22" i="2"/>
  <c r="AE24" i="2"/>
  <c r="AB168" i="2"/>
  <c r="AB170" i="2"/>
  <c r="AD225" i="1"/>
  <c r="AB159" i="2"/>
  <c r="AB160" i="2"/>
  <c r="AB154" i="2"/>
  <c r="AB152" i="2"/>
  <c r="AB150" i="2"/>
  <c r="AB147" i="2"/>
  <c r="AB148" i="2"/>
  <c r="AB146" i="2"/>
  <c r="AB139" i="2"/>
  <c r="AB140" i="2"/>
  <c r="AB141" i="2"/>
  <c r="AB142" i="2"/>
  <c r="AB121" i="2"/>
  <c r="AB122" i="2"/>
  <c r="AB123" i="2"/>
  <c r="AB124" i="2"/>
  <c r="AB125" i="2"/>
  <c r="AB126" i="2"/>
  <c r="AB127" i="2"/>
  <c r="AB128" i="2"/>
  <c r="AB129" i="2"/>
  <c r="AB130" i="2"/>
  <c r="AB131" i="2"/>
  <c r="AB132" i="2"/>
  <c r="AB133" i="2"/>
  <c r="AB134" i="2"/>
  <c r="AB135" i="2"/>
  <c r="AB136" i="2"/>
  <c r="AB137" i="2"/>
  <c r="AB138" i="2"/>
  <c r="AB120" i="2"/>
  <c r="AB99" i="2"/>
  <c r="AB100" i="2"/>
  <c r="AB101" i="2"/>
  <c r="AB102" i="2"/>
  <c r="AB103" i="2"/>
  <c r="AB105" i="2"/>
  <c r="AB106" i="2"/>
  <c r="AB107" i="2"/>
  <c r="AB108" i="2"/>
  <c r="AB109" i="2"/>
  <c r="AB110" i="2"/>
  <c r="AB111" i="2"/>
  <c r="AB112" i="2"/>
  <c r="AB113" i="2"/>
  <c r="AB114" i="2"/>
  <c r="AB115" i="2"/>
  <c r="AB116" i="2"/>
  <c r="AB117" i="2"/>
  <c r="AB118" i="2"/>
  <c r="AB98" i="2"/>
  <c r="AB95" i="2"/>
  <c r="AB96" i="2"/>
  <c r="AB94" i="2"/>
  <c r="AB88" i="2"/>
  <c r="AB89" i="2"/>
  <c r="AB87" i="2"/>
  <c r="AB74" i="2"/>
  <c r="AB75" i="2"/>
  <c r="AB76" i="2"/>
  <c r="AB77" i="2"/>
  <c r="AB78" i="2"/>
  <c r="AB79" i="2"/>
  <c r="AB80" i="2"/>
  <c r="AB81" i="2"/>
  <c r="AB82" i="2"/>
  <c r="AD119" i="1" s="1"/>
  <c r="AB83" i="2"/>
  <c r="AB84" i="2"/>
  <c r="AB85" i="2"/>
  <c r="AB73" i="2"/>
  <c r="AB62" i="2"/>
  <c r="AB63" i="2"/>
  <c r="AB64" i="2"/>
  <c r="AB65" i="2"/>
  <c r="AB66" i="2"/>
  <c r="AB67" i="2"/>
  <c r="AB68" i="2"/>
  <c r="AB69" i="2"/>
  <c r="AB71" i="2"/>
  <c r="AB61" i="2"/>
  <c r="AB58" i="2"/>
  <c r="AB59" i="2"/>
  <c r="AB57" i="2"/>
  <c r="AB50" i="2"/>
  <c r="AB52" i="2"/>
  <c r="AB53" i="2"/>
  <c r="AB55" i="2"/>
  <c r="AB48" i="2"/>
  <c r="AB41" i="2"/>
  <c r="AB42" i="2"/>
  <c r="AB43" i="2"/>
  <c r="AB44" i="2"/>
  <c r="AB45" i="2"/>
  <c r="AB46" i="2"/>
  <c r="AB40" i="2"/>
  <c r="AB36" i="2"/>
  <c r="AB35" i="2"/>
  <c r="AB33" i="2"/>
  <c r="AB28" i="2"/>
  <c r="AB29" i="2"/>
  <c r="AB27" i="2"/>
  <c r="AB16" i="2"/>
  <c r="AB17" i="2"/>
  <c r="AB18" i="2"/>
  <c r="AB19" i="2"/>
  <c r="AB20" i="2"/>
  <c r="AB21" i="2"/>
  <c r="AB22" i="2"/>
  <c r="AB23" i="2"/>
  <c r="AB24" i="2"/>
  <c r="AB25" i="2"/>
  <c r="X163" i="2"/>
  <c r="J47" i="5"/>
  <c r="X152" i="2"/>
  <c r="X150" i="2"/>
  <c r="X147" i="2"/>
  <c r="X148" i="2"/>
  <c r="X146" i="2"/>
  <c r="X139" i="2"/>
  <c r="X141" i="2"/>
  <c r="X142" i="2"/>
  <c r="X121" i="2"/>
  <c r="X122" i="2"/>
  <c r="X123" i="2"/>
  <c r="X124" i="2"/>
  <c r="X125" i="2"/>
  <c r="X126" i="2"/>
  <c r="X127" i="2"/>
  <c r="X128" i="2"/>
  <c r="X129" i="2"/>
  <c r="X130" i="2"/>
  <c r="X131" i="2"/>
  <c r="X132" i="2"/>
  <c r="X133" i="2"/>
  <c r="X134" i="2"/>
  <c r="X135" i="2"/>
  <c r="X136" i="2"/>
  <c r="X137" i="2"/>
  <c r="X138" i="2"/>
  <c r="X120" i="2"/>
  <c r="X100" i="2"/>
  <c r="X101" i="2"/>
  <c r="X102" i="2"/>
  <c r="X103" i="2"/>
  <c r="X105" i="2"/>
  <c r="X106" i="2"/>
  <c r="X107" i="2"/>
  <c r="X108" i="2"/>
  <c r="X109" i="2"/>
  <c r="X111" i="2"/>
  <c r="X112" i="2"/>
  <c r="X113" i="2"/>
  <c r="X114" i="2"/>
  <c r="X115" i="2"/>
  <c r="X116" i="2"/>
  <c r="X117" i="2"/>
  <c r="X118" i="2"/>
  <c r="X98" i="2"/>
  <c r="X95" i="2"/>
  <c r="X96" i="2"/>
  <c r="X94" i="2"/>
  <c r="X92" i="2"/>
  <c r="X88" i="2"/>
  <c r="X89" i="2"/>
  <c r="X90" i="2"/>
  <c r="X74" i="2"/>
  <c r="X75" i="2"/>
  <c r="X76" i="2"/>
  <c r="X77" i="2"/>
  <c r="X78" i="2"/>
  <c r="X79" i="2"/>
  <c r="X80" i="2"/>
  <c r="X81" i="2"/>
  <c r="X82" i="2"/>
  <c r="X83" i="2"/>
  <c r="X84" i="2"/>
  <c r="X85" i="2"/>
  <c r="X73" i="2"/>
  <c r="X62" i="2"/>
  <c r="X63" i="2"/>
  <c r="X64" i="2"/>
  <c r="X65" i="2"/>
  <c r="X66" i="2"/>
  <c r="X67" i="2"/>
  <c r="X68" i="2"/>
  <c r="X69" i="2"/>
  <c r="X71" i="2"/>
  <c r="X61" i="2"/>
  <c r="X58" i="2"/>
  <c r="X59" i="2"/>
  <c r="X57" i="2"/>
  <c r="X50" i="2"/>
  <c r="X52" i="2"/>
  <c r="X53" i="2"/>
  <c r="X55" i="2"/>
  <c r="X48" i="2"/>
  <c r="X42" i="2"/>
  <c r="X43" i="2"/>
  <c r="X44" i="2"/>
  <c r="X45" i="2"/>
  <c r="X46" i="2"/>
  <c r="X40" i="2"/>
  <c r="X35" i="2"/>
  <c r="X33" i="2"/>
  <c r="X28" i="2"/>
  <c r="X29" i="2"/>
  <c r="X27" i="2"/>
  <c r="X16" i="2"/>
  <c r="X17" i="2"/>
  <c r="X18" i="2"/>
  <c r="X19" i="2"/>
  <c r="X20" i="2"/>
  <c r="X21" i="2"/>
  <c r="X22" i="2"/>
  <c r="X24" i="2"/>
  <c r="U168" i="2"/>
  <c r="U170" i="2"/>
  <c r="U163" i="2"/>
  <c r="W225" i="1" s="1"/>
  <c r="U159" i="2"/>
  <c r="U160" i="2"/>
  <c r="U154" i="2"/>
  <c r="U152" i="2"/>
  <c r="U150" i="2"/>
  <c r="U147" i="2"/>
  <c r="U148" i="2"/>
  <c r="U146" i="2"/>
  <c r="U137" i="2"/>
  <c r="U138" i="2"/>
  <c r="U139" i="2"/>
  <c r="U140" i="2"/>
  <c r="U141" i="2"/>
  <c r="U142" i="2"/>
  <c r="U121" i="2"/>
  <c r="U122" i="2"/>
  <c r="U123" i="2"/>
  <c r="U124" i="2"/>
  <c r="U125" i="2"/>
  <c r="U126" i="2"/>
  <c r="U127" i="2"/>
  <c r="U128" i="2"/>
  <c r="U129" i="2"/>
  <c r="U130" i="2"/>
  <c r="U131" i="2"/>
  <c r="U132" i="2"/>
  <c r="U133" i="2"/>
  <c r="U134" i="2"/>
  <c r="U135" i="2"/>
  <c r="U136" i="2"/>
  <c r="U120" i="2"/>
  <c r="U99" i="2"/>
  <c r="U100" i="2"/>
  <c r="U101" i="2"/>
  <c r="U102" i="2"/>
  <c r="U103" i="2"/>
  <c r="U105" i="2"/>
  <c r="U106" i="2"/>
  <c r="U107" i="2"/>
  <c r="U108" i="2"/>
  <c r="U109" i="2"/>
  <c r="U110" i="2"/>
  <c r="U111" i="2"/>
  <c r="U112" i="2"/>
  <c r="U113" i="2"/>
  <c r="U114" i="2"/>
  <c r="U115" i="2"/>
  <c r="U116" i="2"/>
  <c r="U117" i="2"/>
  <c r="U118" i="2"/>
  <c r="U98" i="2"/>
  <c r="U95" i="2"/>
  <c r="U96" i="2"/>
  <c r="U94" i="2"/>
  <c r="U88" i="2"/>
  <c r="U89" i="2"/>
  <c r="U87" i="2"/>
  <c r="U74" i="2"/>
  <c r="U75" i="2"/>
  <c r="U76" i="2"/>
  <c r="U77" i="2"/>
  <c r="U78" i="2"/>
  <c r="U79" i="2"/>
  <c r="U80" i="2"/>
  <c r="U81" i="2"/>
  <c r="U82" i="2"/>
  <c r="W119" i="1" s="1"/>
  <c r="U83" i="2"/>
  <c r="U84" i="2"/>
  <c r="U85" i="2"/>
  <c r="U73" i="2"/>
  <c r="U62" i="2"/>
  <c r="U63" i="2"/>
  <c r="U64" i="2"/>
  <c r="U65" i="2"/>
  <c r="U66" i="2"/>
  <c r="U67" i="2"/>
  <c r="U68" i="2"/>
  <c r="U69" i="2"/>
  <c r="U71" i="2"/>
  <c r="U61" i="2"/>
  <c r="U58" i="2"/>
  <c r="U59" i="2"/>
  <c r="U57" i="2"/>
  <c r="U50" i="2"/>
  <c r="U53" i="2"/>
  <c r="U55" i="2"/>
  <c r="U48" i="2"/>
  <c r="U41" i="2"/>
  <c r="U42" i="2"/>
  <c r="U43" i="2"/>
  <c r="U44" i="2"/>
  <c r="U45" i="2"/>
  <c r="U46" i="2"/>
  <c r="U40" i="2"/>
  <c r="U36" i="2"/>
  <c r="U35" i="2"/>
  <c r="U33" i="2"/>
  <c r="U28" i="2"/>
  <c r="U29" i="2"/>
  <c r="U27" i="2"/>
  <c r="U16" i="2"/>
  <c r="U17" i="2"/>
  <c r="U18" i="2"/>
  <c r="U19" i="2"/>
  <c r="U20" i="2"/>
  <c r="U21" i="2"/>
  <c r="U22" i="2"/>
  <c r="U23" i="2"/>
  <c r="U24" i="2"/>
  <c r="U25" i="2"/>
  <c r="H54" i="5"/>
  <c r="I54" i="5" s="1"/>
  <c r="Q163" i="2"/>
  <c r="H47" i="5"/>
  <c r="Q152" i="2"/>
  <c r="Q150" i="2"/>
  <c r="Q147" i="2"/>
  <c r="Q148" i="2"/>
  <c r="Q146" i="2"/>
  <c r="Q141" i="2"/>
  <c r="Q142" i="2"/>
  <c r="Q121" i="2"/>
  <c r="Q122" i="2"/>
  <c r="Q123" i="2"/>
  <c r="Q124" i="2"/>
  <c r="Q125" i="2"/>
  <c r="Q126" i="2"/>
  <c r="Q127" i="2"/>
  <c r="Q128" i="2"/>
  <c r="Q129" i="2"/>
  <c r="Q130" i="2"/>
  <c r="Q131" i="2"/>
  <c r="Q132" i="2"/>
  <c r="Q133" i="2"/>
  <c r="Q134" i="2"/>
  <c r="Q135" i="2"/>
  <c r="Q136" i="2"/>
  <c r="Q137" i="2"/>
  <c r="Q138" i="2"/>
  <c r="Q139" i="2"/>
  <c r="Q120" i="2"/>
  <c r="Q100" i="2"/>
  <c r="Q101" i="2"/>
  <c r="Q102" i="2"/>
  <c r="Q103" i="2"/>
  <c r="Q105" i="2"/>
  <c r="Q106" i="2"/>
  <c r="Q107" i="2"/>
  <c r="Q108" i="2"/>
  <c r="Q109" i="2"/>
  <c r="Q111" i="2"/>
  <c r="Q112" i="2"/>
  <c r="Q113" i="2"/>
  <c r="Q114" i="2"/>
  <c r="Q115" i="2"/>
  <c r="Q116" i="2"/>
  <c r="Q117" i="2"/>
  <c r="Q118" i="2"/>
  <c r="Q98" i="2"/>
  <c r="Q95" i="2"/>
  <c r="Q96" i="2"/>
  <c r="Q94" i="2"/>
  <c r="Q92" i="2"/>
  <c r="Q88" i="2"/>
  <c r="Q89" i="2"/>
  <c r="Q90" i="2"/>
  <c r="Q74" i="2"/>
  <c r="Q75" i="2"/>
  <c r="Q76" i="2"/>
  <c r="Q77" i="2"/>
  <c r="Q78" i="2"/>
  <c r="Q79" i="2"/>
  <c r="Q80" i="2"/>
  <c r="Q81" i="2"/>
  <c r="Q82" i="2"/>
  <c r="R82" i="2" s="1"/>
  <c r="S82" i="2" s="1"/>
  <c r="Q83" i="2"/>
  <c r="Q84" i="2"/>
  <c r="Q85" i="2"/>
  <c r="Q73" i="2"/>
  <c r="Q62" i="2"/>
  <c r="Q63" i="2"/>
  <c r="Q64" i="2"/>
  <c r="Q65" i="2"/>
  <c r="Q66" i="2"/>
  <c r="Q67" i="2"/>
  <c r="Q68" i="2"/>
  <c r="Q69" i="2"/>
  <c r="Q71" i="2"/>
  <c r="Q61" i="2"/>
  <c r="Q58" i="2"/>
  <c r="R58" i="2" s="1"/>
  <c r="Q59" i="2"/>
  <c r="R57" i="2"/>
  <c r="Q50" i="2"/>
  <c r="Q53" i="2"/>
  <c r="Q55" i="2"/>
  <c r="Q48" i="2"/>
  <c r="Q42" i="2"/>
  <c r="Q43" i="2"/>
  <c r="Q44" i="2"/>
  <c r="Q45" i="2"/>
  <c r="Q46" i="2"/>
  <c r="Q40" i="2"/>
  <c r="Q35" i="2"/>
  <c r="Q33" i="2"/>
  <c r="Q28" i="2"/>
  <c r="Q29" i="2"/>
  <c r="Q27" i="2"/>
  <c r="Q16" i="2"/>
  <c r="Q17" i="2"/>
  <c r="Q18" i="2"/>
  <c r="Q19" i="2"/>
  <c r="Q20" i="2"/>
  <c r="Q21" i="2"/>
  <c r="Q22" i="2"/>
  <c r="Q24" i="2"/>
  <c r="N168" i="2"/>
  <c r="N170" i="2"/>
  <c r="N163" i="2"/>
  <c r="P225" i="1" s="1"/>
  <c r="N159" i="2"/>
  <c r="N160" i="2"/>
  <c r="N154" i="2"/>
  <c r="N152" i="2"/>
  <c r="N150" i="2"/>
  <c r="N147" i="2"/>
  <c r="N148" i="2"/>
  <c r="N146" i="2"/>
  <c r="N137" i="2"/>
  <c r="N138" i="2"/>
  <c r="N139" i="2"/>
  <c r="N140" i="2"/>
  <c r="N141" i="2"/>
  <c r="N142" i="2"/>
  <c r="N121" i="2"/>
  <c r="N122" i="2"/>
  <c r="N123" i="2"/>
  <c r="N124" i="2"/>
  <c r="N125" i="2"/>
  <c r="N126" i="2"/>
  <c r="N127" i="2"/>
  <c r="N128" i="2"/>
  <c r="N129" i="2"/>
  <c r="N130" i="2"/>
  <c r="N131" i="2"/>
  <c r="N132" i="2"/>
  <c r="N133" i="2"/>
  <c r="N134" i="2"/>
  <c r="N135" i="2"/>
  <c r="N136" i="2"/>
  <c r="N120" i="2"/>
  <c r="N99" i="2"/>
  <c r="N100" i="2"/>
  <c r="N101" i="2"/>
  <c r="N102" i="2"/>
  <c r="N103" i="2"/>
  <c r="N105" i="2"/>
  <c r="N106" i="2"/>
  <c r="N107" i="2"/>
  <c r="N108" i="2"/>
  <c r="N109" i="2"/>
  <c r="N110" i="2"/>
  <c r="N111" i="2"/>
  <c r="N112" i="2"/>
  <c r="N113" i="2"/>
  <c r="N114" i="2"/>
  <c r="N115" i="2"/>
  <c r="N116" i="2"/>
  <c r="N117" i="2"/>
  <c r="N118" i="2"/>
  <c r="N98" i="2"/>
  <c r="N95" i="2"/>
  <c r="N96" i="2"/>
  <c r="N94" i="2"/>
  <c r="N88" i="2"/>
  <c r="N89" i="2"/>
  <c r="N87" i="2"/>
  <c r="N74" i="2"/>
  <c r="N75" i="2"/>
  <c r="N76" i="2"/>
  <c r="N77" i="2"/>
  <c r="N78" i="2"/>
  <c r="N79" i="2"/>
  <c r="N80" i="2"/>
  <c r="N81" i="2"/>
  <c r="N82" i="2"/>
  <c r="P119" i="1" s="1"/>
  <c r="N83" i="2"/>
  <c r="N84" i="2"/>
  <c r="N85" i="2"/>
  <c r="N73" i="2"/>
  <c r="N62" i="2"/>
  <c r="N63" i="2"/>
  <c r="N64" i="2"/>
  <c r="N65" i="2"/>
  <c r="N66" i="2"/>
  <c r="N67" i="2"/>
  <c r="N68" i="2"/>
  <c r="N69" i="2"/>
  <c r="N71" i="2"/>
  <c r="N61" i="2"/>
  <c r="N58" i="2"/>
  <c r="N59" i="2"/>
  <c r="N57" i="2"/>
  <c r="N50" i="2"/>
  <c r="N53" i="2"/>
  <c r="N55" i="2"/>
  <c r="N48" i="2"/>
  <c r="N41" i="2"/>
  <c r="N42" i="2"/>
  <c r="N43" i="2"/>
  <c r="N44" i="2"/>
  <c r="N45" i="2"/>
  <c r="N46" i="2"/>
  <c r="N40" i="2"/>
  <c r="N36" i="2"/>
  <c r="N35" i="2"/>
  <c r="N33" i="2"/>
  <c r="N28" i="2"/>
  <c r="N29" i="2"/>
  <c r="N27" i="2"/>
  <c r="N16" i="2"/>
  <c r="N17" i="2"/>
  <c r="N18" i="2"/>
  <c r="N19" i="2"/>
  <c r="N20" i="2"/>
  <c r="N21" i="2"/>
  <c r="N22" i="2"/>
  <c r="N23" i="2"/>
  <c r="N24" i="2"/>
  <c r="N25" i="2"/>
  <c r="J163" i="2"/>
  <c r="H163" i="2"/>
  <c r="J225" i="1" s="1"/>
  <c r="J82" i="2"/>
  <c r="H82" i="2"/>
  <c r="J119" i="1" s="1"/>
  <c r="X7" i="2" l="1"/>
  <c r="X8" i="2"/>
  <c r="N11" i="2"/>
  <c r="J11" i="2"/>
  <c r="K11" i="2" s="1"/>
  <c r="J8" i="2"/>
  <c r="Q8" i="2"/>
  <c r="AE8" i="2"/>
  <c r="U11" i="2"/>
  <c r="AF163" i="2"/>
  <c r="AG163" i="2" s="1"/>
  <c r="AE11" i="2"/>
  <c r="AE10" i="2"/>
  <c r="Q7" i="2"/>
  <c r="U12" i="2"/>
  <c r="X11" i="2"/>
  <c r="N7" i="2"/>
  <c r="Q10" i="2"/>
  <c r="U7" i="2"/>
  <c r="AB12" i="2"/>
  <c r="N10" i="2"/>
  <c r="X10" i="2"/>
  <c r="U9" i="2"/>
  <c r="AB10" i="2"/>
  <c r="AB9" i="2"/>
  <c r="T163" i="2"/>
  <c r="Q11" i="2"/>
  <c r="AB7" i="2"/>
  <c r="AE7" i="2"/>
  <c r="N9" i="2"/>
  <c r="N12" i="2"/>
  <c r="U10" i="2"/>
  <c r="AB11" i="2"/>
  <c r="Y58" i="2"/>
  <c r="Z58" i="2" s="1"/>
  <c r="Y57" i="2"/>
  <c r="Z57" i="2" s="1"/>
  <c r="F49" i="5"/>
  <c r="B68" i="5"/>
  <c r="H36" i="5"/>
  <c r="L36" i="5"/>
  <c r="J36" i="5"/>
  <c r="L14" i="5"/>
  <c r="Q51" i="2"/>
  <c r="H49" i="5"/>
  <c r="J49" i="5"/>
  <c r="AE51" i="2"/>
  <c r="L49" i="5"/>
  <c r="J14" i="5"/>
  <c r="H14" i="5"/>
  <c r="J46" i="5"/>
  <c r="L46" i="5"/>
  <c r="H46" i="5"/>
  <c r="Q153" i="2"/>
  <c r="R153" i="2" s="1"/>
  <c r="S153" i="2" s="1"/>
  <c r="H11" i="5"/>
  <c r="J11" i="5"/>
  <c r="L11" i="5"/>
  <c r="AE153" i="2"/>
  <c r="AE49" i="2"/>
  <c r="X153" i="2"/>
  <c r="J70" i="2"/>
  <c r="X70" i="2"/>
  <c r="J51" i="2"/>
  <c r="X51" i="2"/>
  <c r="J54" i="5"/>
  <c r="K54" i="5" s="1"/>
  <c r="K163" i="2"/>
  <c r="L163" i="2" s="1"/>
  <c r="Y82" i="2"/>
  <c r="Z82" i="2" s="1"/>
  <c r="AA163" i="2"/>
  <c r="M82" i="2"/>
  <c r="L52" i="5"/>
  <c r="L51" i="5" s="1"/>
  <c r="H52" i="5"/>
  <c r="H51" i="5" s="1"/>
  <c r="J52" i="5"/>
  <c r="L13" i="5"/>
  <c r="H35" i="5"/>
  <c r="H13" i="5"/>
  <c r="J35" i="5"/>
  <c r="J13" i="5"/>
  <c r="L35" i="5"/>
  <c r="D48" i="5"/>
  <c r="D43" i="5"/>
  <c r="D12" i="5"/>
  <c r="L12" i="5"/>
  <c r="H12" i="5"/>
  <c r="J12" i="5"/>
  <c r="L43" i="5"/>
  <c r="H43" i="5"/>
  <c r="J43" i="5"/>
  <c r="Z119" i="1"/>
  <c r="AA119" i="1" s="1"/>
  <c r="AB119" i="1" s="1"/>
  <c r="J48" i="5"/>
  <c r="K48" i="5" s="1"/>
  <c r="L48" i="5"/>
  <c r="M48" i="5" s="1"/>
  <c r="Z225" i="1"/>
  <c r="L225" i="1"/>
  <c r="S119" i="1"/>
  <c r="V119" i="1" s="1"/>
  <c r="L119" i="1"/>
  <c r="O119" i="1" s="1"/>
  <c r="AG119" i="1"/>
  <c r="AJ119" i="1" s="1"/>
  <c r="S225" i="1"/>
  <c r="F48" i="5"/>
  <c r="G48" i="5" s="1"/>
  <c r="AG225" i="1"/>
  <c r="H48" i="5"/>
  <c r="I48" i="5" s="1"/>
  <c r="M163" i="2"/>
  <c r="R163" i="2"/>
  <c r="S163" i="2" s="1"/>
  <c r="AL163" i="2"/>
  <c r="AH163" i="2"/>
  <c r="Y163" i="2"/>
  <c r="Z163" i="2" s="1"/>
  <c r="K82" i="2"/>
  <c r="L82" i="2" s="1"/>
  <c r="T82" i="2"/>
  <c r="AH82" i="2"/>
  <c r="AA82" i="2"/>
  <c r="N6" i="2" l="1"/>
  <c r="U6" i="2"/>
  <c r="AB6" i="2"/>
  <c r="J51" i="5"/>
  <c r="T119" i="1"/>
  <c r="U119" i="1" s="1"/>
  <c r="AH119" i="1"/>
  <c r="AI119" i="1" s="1"/>
  <c r="AC119" i="1"/>
  <c r="M225" i="1"/>
  <c r="N225" i="1" s="1"/>
  <c r="O225" i="1"/>
  <c r="AC225" i="1"/>
  <c r="AA225" i="1"/>
  <c r="AB225" i="1" s="1"/>
  <c r="AH225" i="1"/>
  <c r="AI225" i="1" s="1"/>
  <c r="AJ225" i="1"/>
  <c r="T225" i="1"/>
  <c r="U225" i="1" s="1"/>
  <c r="V225" i="1"/>
  <c r="M119" i="1"/>
  <c r="N119" i="1" s="1"/>
  <c r="E229" i="1" l="1"/>
  <c r="F229" i="1"/>
  <c r="H229" i="1"/>
  <c r="I229" i="1"/>
  <c r="J229" i="1"/>
  <c r="K229" i="1"/>
  <c r="E230" i="1"/>
  <c r="F230" i="1"/>
  <c r="H230" i="1"/>
  <c r="I230" i="1"/>
  <c r="K230" i="1"/>
  <c r="P230" i="1"/>
  <c r="R168" i="2"/>
  <c r="S168" i="2" s="1"/>
  <c r="W230" i="1"/>
  <c r="AD230" i="1"/>
  <c r="AH168" i="2"/>
  <c r="P229" i="1"/>
  <c r="S229" i="1"/>
  <c r="W229" i="1"/>
  <c r="AD229" i="1"/>
  <c r="AG229" i="1"/>
  <c r="G166" i="2"/>
  <c r="I166" i="2"/>
  <c r="F52" i="5" l="1"/>
  <c r="K168" i="2"/>
  <c r="L168" i="2" s="1"/>
  <c r="K167" i="2"/>
  <c r="L167" i="2" s="1"/>
  <c r="AL168" i="2"/>
  <c r="AL167" i="2"/>
  <c r="Y167" i="2"/>
  <c r="Z167" i="2" s="1"/>
  <c r="Y168" i="2"/>
  <c r="Z168" i="2" s="1"/>
  <c r="T167" i="2"/>
  <c r="L229" i="1"/>
  <c r="M229" i="1" s="1"/>
  <c r="N229" i="1" s="1"/>
  <c r="AH229" i="1"/>
  <c r="AI229" i="1" s="1"/>
  <c r="AJ229" i="1"/>
  <c r="V229" i="1"/>
  <c r="T229" i="1"/>
  <c r="U229" i="1" s="1"/>
  <c r="Z229" i="1"/>
  <c r="AG230" i="1"/>
  <c r="AH167" i="2"/>
  <c r="AF167" i="2"/>
  <c r="AG167" i="2" s="1"/>
  <c r="L230" i="1"/>
  <c r="S230" i="1"/>
  <c r="Z230" i="1"/>
  <c r="AA230" i="1" s="1"/>
  <c r="AB230" i="1" s="1"/>
  <c r="AF168" i="2"/>
  <c r="AG168" i="2" s="1"/>
  <c r="T168" i="2"/>
  <c r="AA168" i="2"/>
  <c r="M168" i="2"/>
  <c r="R167" i="2"/>
  <c r="S167" i="2" s="1"/>
  <c r="AA167" i="2"/>
  <c r="M167" i="2"/>
  <c r="O229" i="1" l="1"/>
  <c r="AH230" i="1"/>
  <c r="AI230" i="1" s="1"/>
  <c r="AJ230" i="1"/>
  <c r="V230" i="1"/>
  <c r="T230" i="1"/>
  <c r="U230" i="1" s="1"/>
  <c r="AC230" i="1"/>
  <c r="AC229" i="1"/>
  <c r="AA229" i="1"/>
  <c r="AB229" i="1" s="1"/>
  <c r="O230" i="1"/>
  <c r="M230" i="1"/>
  <c r="N230" i="1" s="1"/>
  <c r="C32" i="6"/>
  <c r="E32" i="6" s="1"/>
  <c r="H168" i="2"/>
  <c r="H12" i="2" s="1"/>
  <c r="H170" i="2"/>
  <c r="N166" i="2"/>
  <c r="U166" i="2"/>
  <c r="AB166" i="2"/>
  <c r="AB153" i="2"/>
  <c r="U153" i="2"/>
  <c r="N153" i="2"/>
  <c r="H166" i="2" l="1"/>
  <c r="F54" i="5"/>
  <c r="AL60" i="2"/>
  <c r="AL170" i="2"/>
  <c r="J230" i="1"/>
  <c r="R170" i="2"/>
  <c r="S170" i="2" s="1"/>
  <c r="Q166" i="2"/>
  <c r="K170" i="2"/>
  <c r="L170" i="2" s="1"/>
  <c r="J166" i="2"/>
  <c r="AF170" i="2"/>
  <c r="AG170" i="2" s="1"/>
  <c r="AE166" i="2"/>
  <c r="Y170" i="2"/>
  <c r="Z170" i="2" s="1"/>
  <c r="X166" i="2"/>
  <c r="T170" i="2"/>
  <c r="AH170" i="2"/>
  <c r="AA170" i="2"/>
  <c r="M170" i="2"/>
  <c r="G54" i="5" l="1"/>
  <c r="F51" i="5"/>
  <c r="G51" i="5" s="1"/>
  <c r="M166" i="2"/>
  <c r="T166" i="2"/>
  <c r="E47" i="5"/>
  <c r="C33" i="5"/>
  <c r="I221" i="1"/>
  <c r="K221" i="1"/>
  <c r="I222" i="1"/>
  <c r="K222" i="1"/>
  <c r="H221" i="1"/>
  <c r="H222" i="1"/>
  <c r="E216" i="1"/>
  <c r="F216" i="1"/>
  <c r="H216" i="1"/>
  <c r="I216" i="1"/>
  <c r="K216" i="1"/>
  <c r="E48" i="1"/>
  <c r="F48" i="1"/>
  <c r="G48" i="1"/>
  <c r="H48" i="1"/>
  <c r="I48" i="1"/>
  <c r="K48" i="1"/>
  <c r="P48" i="1"/>
  <c r="W48" i="1"/>
  <c r="AD48" i="1"/>
  <c r="R154" i="2"/>
  <c r="S154" i="2" s="1"/>
  <c r="W216" i="1"/>
  <c r="AG216" i="1"/>
  <c r="H154" i="2"/>
  <c r="AF160" i="2"/>
  <c r="AG160" i="2" s="1"/>
  <c r="AL160" i="2"/>
  <c r="AD222" i="1"/>
  <c r="R160" i="2"/>
  <c r="S160" i="2" s="1"/>
  <c r="W222" i="1"/>
  <c r="P222" i="1"/>
  <c r="H160" i="2"/>
  <c r="J222" i="1" s="1"/>
  <c r="H37" i="2"/>
  <c r="F46" i="5" l="1"/>
  <c r="AJ216" i="1"/>
  <c r="K160" i="2"/>
  <c r="L160" i="2" s="1"/>
  <c r="AL154" i="2"/>
  <c r="K154" i="2"/>
  <c r="L154" i="2" s="1"/>
  <c r="Y154" i="2"/>
  <c r="Z154" i="2" s="1"/>
  <c r="Y160" i="2"/>
  <c r="Z160" i="2" s="1"/>
  <c r="AH154" i="2"/>
  <c r="AF154" i="2"/>
  <c r="AG154" i="2" s="1"/>
  <c r="T154" i="2"/>
  <c r="S216" i="1"/>
  <c r="P216" i="1"/>
  <c r="S222" i="1"/>
  <c r="D47" i="5"/>
  <c r="L216" i="1"/>
  <c r="M216" i="1" s="1"/>
  <c r="N216" i="1" s="1"/>
  <c r="AG222" i="1"/>
  <c r="AH222" i="1" s="1"/>
  <c r="AI222" i="1" s="1"/>
  <c r="L222" i="1"/>
  <c r="M222" i="1" s="1"/>
  <c r="N222" i="1" s="1"/>
  <c r="J48" i="1"/>
  <c r="AD216" i="1"/>
  <c r="J216" i="1"/>
  <c r="Z216" i="1"/>
  <c r="Z222" i="1"/>
  <c r="AA222" i="1" s="1"/>
  <c r="AB222" i="1" s="1"/>
  <c r="AH216" i="1"/>
  <c r="AI216" i="1" s="1"/>
  <c r="M154" i="2"/>
  <c r="AA154" i="2"/>
  <c r="AH160" i="2"/>
  <c r="AA160" i="2"/>
  <c r="T160" i="2"/>
  <c r="M160" i="2"/>
  <c r="F100" i="2"/>
  <c r="AD221" i="1"/>
  <c r="W221" i="1"/>
  <c r="P221" i="1"/>
  <c r="H159" i="2"/>
  <c r="B11" i="5" l="1"/>
  <c r="B67" i="5" s="1"/>
  <c r="AA216" i="1"/>
  <c r="AB216" i="1" s="1"/>
  <c r="J153" i="2"/>
  <c r="J221" i="1"/>
  <c r="AL159" i="2"/>
  <c r="AJ222" i="1"/>
  <c r="O222" i="1"/>
  <c r="O216" i="1"/>
  <c r="AC216" i="1"/>
  <c r="AA159" i="2"/>
  <c r="K47" i="5"/>
  <c r="Z221" i="1"/>
  <c r="AF159" i="2"/>
  <c r="AG159" i="2" s="1"/>
  <c r="M47" i="5"/>
  <c r="AG221" i="1"/>
  <c r="V222" i="1"/>
  <c r="T222" i="1"/>
  <c r="U222" i="1" s="1"/>
  <c r="AC222" i="1"/>
  <c r="K159" i="2"/>
  <c r="L159" i="2" s="1"/>
  <c r="L221" i="1"/>
  <c r="G47" i="5"/>
  <c r="R159" i="2"/>
  <c r="S159" i="2" s="1"/>
  <c r="S221" i="1"/>
  <c r="I47" i="5"/>
  <c r="V216" i="1"/>
  <c r="T216" i="1"/>
  <c r="U216" i="1" s="1"/>
  <c r="M159" i="2"/>
  <c r="T159" i="2"/>
  <c r="AH159" i="2"/>
  <c r="Y159" i="2"/>
  <c r="Z159" i="2" s="1"/>
  <c r="B58" i="5" l="1"/>
  <c r="D58" i="5" s="1"/>
  <c r="T221" i="1"/>
  <c r="U221" i="1" s="1"/>
  <c r="V221" i="1"/>
  <c r="AJ221" i="1"/>
  <c r="AH221" i="1"/>
  <c r="AI221" i="1" s="1"/>
  <c r="M221" i="1"/>
  <c r="N221" i="1" s="1"/>
  <c r="O221" i="1"/>
  <c r="AA221" i="1"/>
  <c r="AB221" i="1" s="1"/>
  <c r="AC221" i="1"/>
  <c r="AL15" i="2" l="1"/>
  <c r="J198" i="2" l="1"/>
  <c r="K232" i="1" l="1"/>
  <c r="K228" i="1" s="1"/>
  <c r="I232" i="1"/>
  <c r="I228" i="1" s="1"/>
  <c r="H232" i="1"/>
  <c r="H228" i="1" s="1"/>
  <c r="F232" i="1"/>
  <c r="E232" i="1"/>
  <c r="E226" i="1"/>
  <c r="F226" i="1"/>
  <c r="H226" i="1"/>
  <c r="I226" i="1"/>
  <c r="K226" i="1"/>
  <c r="E217" i="1"/>
  <c r="F217" i="1"/>
  <c r="H217" i="1"/>
  <c r="I217" i="1"/>
  <c r="K217" i="1"/>
  <c r="B211" i="1"/>
  <c r="C85" i="5"/>
  <c r="C84" i="5" s="1"/>
  <c r="C18" i="5"/>
  <c r="B18" i="5"/>
  <c r="C50" i="5"/>
  <c r="B50" i="5"/>
  <c r="B85" i="5" s="1"/>
  <c r="H179" i="2"/>
  <c r="B74" i="5" l="1"/>
  <c r="C83" i="5"/>
  <c r="D83" i="5" s="1"/>
  <c r="C28" i="6"/>
  <c r="B62" i="6" s="1"/>
  <c r="D85" i="5"/>
  <c r="F79" i="5"/>
  <c r="D28" i="6"/>
  <c r="C62" i="6" s="1"/>
  <c r="S232" i="1"/>
  <c r="D46" i="5"/>
  <c r="D50" i="5"/>
  <c r="S228" i="1" l="1"/>
  <c r="V228" i="1" s="1"/>
  <c r="T232" i="1"/>
  <c r="C82" i="5"/>
  <c r="D62" i="6"/>
  <c r="V232" i="1"/>
  <c r="I51" i="5"/>
  <c r="D52" i="5"/>
  <c r="D51" i="5" s="1"/>
  <c r="I52" i="5"/>
  <c r="T228" i="1" l="1"/>
  <c r="U228" i="1" s="1"/>
  <c r="C81" i="5"/>
  <c r="D82" i="5"/>
  <c r="D68" i="5" s="1"/>
  <c r="O28" i="6"/>
  <c r="L28" i="6"/>
  <c r="U232" i="1"/>
  <c r="H155" i="2"/>
  <c r="AG232" i="1"/>
  <c r="P226" i="1"/>
  <c r="S226" i="1"/>
  <c r="W226" i="1"/>
  <c r="AD226" i="1"/>
  <c r="AG226" i="1"/>
  <c r="R162" i="2"/>
  <c r="S162" i="2" s="1"/>
  <c r="H164" i="2"/>
  <c r="J226" i="1" s="1"/>
  <c r="B15" i="2"/>
  <c r="B16" i="2"/>
  <c r="B17" i="2"/>
  <c r="B18" i="2"/>
  <c r="B19" i="2"/>
  <c r="B20" i="2"/>
  <c r="B21" i="2"/>
  <c r="B22" i="2"/>
  <c r="B23" i="2"/>
  <c r="B24" i="2"/>
  <c r="B25" i="2"/>
  <c r="B26" i="2"/>
  <c r="B27" i="2"/>
  <c r="B28" i="2"/>
  <c r="B29" i="2"/>
  <c r="B30" i="2"/>
  <c r="B31" i="2"/>
  <c r="B32" i="2"/>
  <c r="B33" i="2"/>
  <c r="B34" i="2"/>
  <c r="B35" i="2"/>
  <c r="B36"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3" i="2"/>
  <c r="B84" i="2"/>
  <c r="B85" i="2"/>
  <c r="B86" i="2"/>
  <c r="B87" i="2"/>
  <c r="B88" i="2"/>
  <c r="B89" i="2"/>
  <c r="B90" i="2"/>
  <c r="B91" i="2"/>
  <c r="B92" i="2"/>
  <c r="B93"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9" i="2"/>
  <c r="B130" i="2"/>
  <c r="B131" i="2"/>
  <c r="B132" i="2"/>
  <c r="B133" i="2"/>
  <c r="B134" i="2"/>
  <c r="B135" i="2"/>
  <c r="B136" i="2"/>
  <c r="B137" i="2"/>
  <c r="B138" i="2"/>
  <c r="B139" i="2"/>
  <c r="B140" i="2"/>
  <c r="B141" i="2"/>
  <c r="B142" i="2"/>
  <c r="B144" i="2"/>
  <c r="B145" i="2"/>
  <c r="B146" i="2"/>
  <c r="B147" i="2"/>
  <c r="B149" i="2"/>
  <c r="B150" i="2"/>
  <c r="B151" i="2"/>
  <c r="B152" i="2"/>
  <c r="B14" i="2"/>
  <c r="B214" i="1"/>
  <c r="B200" i="1"/>
  <c r="B193" i="1"/>
  <c r="B118" i="1"/>
  <c r="B117" i="1"/>
  <c r="B99" i="1"/>
  <c r="B98" i="1"/>
  <c r="B96" i="1"/>
  <c r="N28" i="6" l="1"/>
  <c r="M28" i="6"/>
  <c r="AG228" i="1"/>
  <c r="AJ228" i="1" s="1"/>
  <c r="AH232" i="1"/>
  <c r="D80" i="5"/>
  <c r="D81" i="5"/>
  <c r="AL164" i="2"/>
  <c r="AL155" i="2"/>
  <c r="J217" i="1"/>
  <c r="G46" i="5"/>
  <c r="P217" i="1"/>
  <c r="S217" i="1"/>
  <c r="W217" i="1"/>
  <c r="AD217" i="1"/>
  <c r="AG217" i="1"/>
  <c r="Z232" i="1"/>
  <c r="Z226" i="1"/>
  <c r="AC226" i="1" s="1"/>
  <c r="L217" i="1"/>
  <c r="L232" i="1"/>
  <c r="M232" i="1" s="1"/>
  <c r="Z217" i="1"/>
  <c r="W232" i="1"/>
  <c r="W228" i="1" s="1"/>
  <c r="AH226" i="1"/>
  <c r="AI226" i="1" s="1"/>
  <c r="AJ226" i="1"/>
  <c r="AD232" i="1"/>
  <c r="AD228" i="1" s="1"/>
  <c r="T226" i="1"/>
  <c r="U226" i="1" s="1"/>
  <c r="V226" i="1"/>
  <c r="P232" i="1"/>
  <c r="P228" i="1" s="1"/>
  <c r="K164" i="2"/>
  <c r="L164" i="2" s="1"/>
  <c r="L226" i="1"/>
  <c r="J232" i="1"/>
  <c r="AJ232" i="1"/>
  <c r="AA155" i="2"/>
  <c r="AH164" i="2"/>
  <c r="L50" i="5"/>
  <c r="M50" i="5" s="1"/>
  <c r="AH155" i="2"/>
  <c r="Y164" i="2"/>
  <c r="Z164" i="2" s="1"/>
  <c r="J50" i="5"/>
  <c r="K50" i="5" s="1"/>
  <c r="M155" i="2"/>
  <c r="R164" i="2"/>
  <c r="S164" i="2" s="1"/>
  <c r="H50" i="5"/>
  <c r="I50" i="5" s="1"/>
  <c r="F50" i="5"/>
  <c r="R155" i="2"/>
  <c r="S155" i="2" s="1"/>
  <c r="Y155" i="2"/>
  <c r="Z155" i="2" s="1"/>
  <c r="T155" i="2"/>
  <c r="K155" i="2"/>
  <c r="L155" i="2" s="1"/>
  <c r="AF155" i="2"/>
  <c r="AG155" i="2" s="1"/>
  <c r="AF164" i="2"/>
  <c r="AG164" i="2" s="1"/>
  <c r="T164" i="2"/>
  <c r="AA164" i="2"/>
  <c r="M164" i="2"/>
  <c r="T162" i="2"/>
  <c r="AH228" i="1" l="1"/>
  <c r="AI228" i="1" s="1"/>
  <c r="Z228" i="1"/>
  <c r="AC228" i="1" s="1"/>
  <c r="AA232" i="1"/>
  <c r="AB232" i="1" s="1"/>
  <c r="AJ217" i="1"/>
  <c r="V217" i="1"/>
  <c r="Y28" i="6"/>
  <c r="J228" i="1"/>
  <c r="E28" i="6" s="1"/>
  <c r="N232" i="1"/>
  <c r="L228" i="1"/>
  <c r="T217" i="1"/>
  <c r="U217" i="1" s="1"/>
  <c r="AH217" i="1"/>
  <c r="AI217" i="1" s="1"/>
  <c r="AC217" i="1"/>
  <c r="M217" i="1"/>
  <c r="N217" i="1" s="1"/>
  <c r="AA226" i="1"/>
  <c r="AB226" i="1" s="1"/>
  <c r="O217" i="1"/>
  <c r="AC232" i="1"/>
  <c r="AA217" i="1"/>
  <c r="AB217" i="1" s="1"/>
  <c r="O232" i="1"/>
  <c r="K28" i="6"/>
  <c r="V28" i="6"/>
  <c r="O226" i="1"/>
  <c r="M226" i="1"/>
  <c r="N226" i="1" s="1"/>
  <c r="P28" i="6"/>
  <c r="U28" i="6"/>
  <c r="AI232" i="1"/>
  <c r="X28" i="6" s="1"/>
  <c r="G52" i="5"/>
  <c r="AA166" i="2"/>
  <c r="K46" i="5"/>
  <c r="K51" i="5"/>
  <c r="K52" i="5"/>
  <c r="I46" i="5"/>
  <c r="M46" i="5"/>
  <c r="M52" i="5"/>
  <c r="M51" i="5"/>
  <c r="G50" i="5"/>
  <c r="AH166" i="2"/>
  <c r="E6" i="16"/>
  <c r="E7" i="16"/>
  <c r="E8" i="16"/>
  <c r="E5" i="16"/>
  <c r="O12" i="16"/>
  <c r="E12" i="16" s="1"/>
  <c r="O13" i="16"/>
  <c r="E13" i="16" s="1"/>
  <c r="O11" i="16"/>
  <c r="O10" i="16"/>
  <c r="E10" i="16" s="1"/>
  <c r="O9" i="16"/>
  <c r="E9" i="16" s="1"/>
  <c r="C44" i="5"/>
  <c r="C45" i="5"/>
  <c r="E45" i="5"/>
  <c r="W28" i="6" l="1"/>
  <c r="Q28" i="6"/>
  <c r="AA228" i="1"/>
  <c r="AB228" i="1" s="1"/>
  <c r="S28" i="6" s="1"/>
  <c r="B84" i="5"/>
  <c r="B45" i="5"/>
  <c r="T28" i="6"/>
  <c r="O228" i="1"/>
  <c r="J28" i="6" s="1"/>
  <c r="M228" i="1"/>
  <c r="G28" i="6"/>
  <c r="O16" i="16"/>
  <c r="D49" i="5"/>
  <c r="D45" i="5" s="1"/>
  <c r="H144" i="2"/>
  <c r="H141" i="2"/>
  <c r="H142" i="2"/>
  <c r="R28" i="6" l="1"/>
  <c r="B79" i="5"/>
  <c r="I79" i="5" s="1"/>
  <c r="D84" i="5"/>
  <c r="D79" i="5" s="1"/>
  <c r="N228" i="1"/>
  <c r="I28" i="6" s="1"/>
  <c r="H28" i="6"/>
  <c r="C13" i="10"/>
  <c r="C16" i="5" l="1"/>
  <c r="H99" i="1"/>
  <c r="I99" i="1"/>
  <c r="K99" i="1"/>
  <c r="E99" i="1"/>
  <c r="F99" i="1"/>
  <c r="F98" i="1"/>
  <c r="E98" i="1"/>
  <c r="H67" i="2"/>
  <c r="J99" i="1" s="1"/>
  <c r="J67" i="2"/>
  <c r="P99" i="1"/>
  <c r="R67" i="2"/>
  <c r="S67" i="2" s="1"/>
  <c r="W99" i="1"/>
  <c r="AD99" i="1"/>
  <c r="AH67" i="2"/>
  <c r="AL67" i="2" l="1"/>
  <c r="AL54" i="2"/>
  <c r="Y67" i="2"/>
  <c r="Z67" i="2" s="1"/>
  <c r="K67" i="2"/>
  <c r="L67" i="2" s="1"/>
  <c r="AG99" i="1"/>
  <c r="AJ99" i="1" s="1"/>
  <c r="Z99" i="1"/>
  <c r="AC99" i="1" s="1"/>
  <c r="T67" i="2"/>
  <c r="S99" i="1"/>
  <c r="T99" i="1" s="1"/>
  <c r="U99" i="1" s="1"/>
  <c r="L99" i="1"/>
  <c r="O99" i="1" s="1"/>
  <c r="AA67" i="2"/>
  <c r="M67" i="2"/>
  <c r="AF67" i="2"/>
  <c r="AG67" i="2" s="1"/>
  <c r="V99" i="1" l="1"/>
  <c r="AH99" i="1"/>
  <c r="AI99" i="1" s="1"/>
  <c r="M99" i="1"/>
  <c r="N99" i="1" s="1"/>
  <c r="AA99" i="1"/>
  <c r="AB99" i="1" s="1"/>
  <c r="E11" i="16" l="1"/>
  <c r="G79" i="5" l="1"/>
  <c r="C79" i="5"/>
  <c r="E79" i="5"/>
  <c r="I81" i="5"/>
  <c r="I82" i="5"/>
  <c r="I84" i="5"/>
  <c r="I85" i="5"/>
  <c r="B70" i="5"/>
  <c r="B59" i="5"/>
  <c r="D59" i="5" s="1"/>
  <c r="E15" i="16"/>
  <c r="I62" i="6"/>
  <c r="F224" i="1"/>
  <c r="F223" i="1"/>
  <c r="H224" i="1"/>
  <c r="I224" i="1"/>
  <c r="K224" i="1"/>
  <c r="H223" i="1"/>
  <c r="I223" i="1"/>
  <c r="K223" i="1"/>
  <c r="E224" i="1"/>
  <c r="E223" i="1"/>
  <c r="I118" i="1"/>
  <c r="E118" i="1"/>
  <c r="F118" i="1"/>
  <c r="H118" i="1"/>
  <c r="AH12" i="2"/>
  <c r="AA12" i="2"/>
  <c r="T12" i="2"/>
  <c r="M12" i="2"/>
  <c r="I153" i="2"/>
  <c r="F151" i="2"/>
  <c r="F149" i="2"/>
  <c r="F86" i="2"/>
  <c r="F47" i="2"/>
  <c r="F26" i="2"/>
  <c r="AH162" i="2"/>
  <c r="AD224" i="1"/>
  <c r="W224" i="1"/>
  <c r="P224" i="1"/>
  <c r="H162" i="2"/>
  <c r="J224" i="1" s="1"/>
  <c r="H161" i="2"/>
  <c r="H11" i="2" s="1"/>
  <c r="H215" i="1" l="1"/>
  <c r="C27" i="6" s="1"/>
  <c r="B61" i="6" s="1"/>
  <c r="I215" i="1"/>
  <c r="H153" i="2"/>
  <c r="AL162" i="2"/>
  <c r="AL161" i="2"/>
  <c r="AL153" i="2"/>
  <c r="Y162" i="2"/>
  <c r="Z162" i="2" s="1"/>
  <c r="P223" i="1"/>
  <c r="P215" i="1" s="1"/>
  <c r="W223" i="1"/>
  <c r="AD223" i="1"/>
  <c r="J223" i="1"/>
  <c r="J215" i="1" s="1"/>
  <c r="K162" i="2"/>
  <c r="L162" i="2" s="1"/>
  <c r="M162" i="2"/>
  <c r="T161" i="2"/>
  <c r="H45" i="5"/>
  <c r="AA161" i="2"/>
  <c r="J45" i="5"/>
  <c r="K161" i="2"/>
  <c r="L161" i="2" s="1"/>
  <c r="AH161" i="2"/>
  <c r="L45" i="5"/>
  <c r="S223" i="1"/>
  <c r="K215" i="1"/>
  <c r="F28" i="6" s="1"/>
  <c r="L223" i="1"/>
  <c r="Z224" i="1"/>
  <c r="L224" i="1"/>
  <c r="M224" i="1" s="1"/>
  <c r="N224" i="1" s="1"/>
  <c r="C31" i="6"/>
  <c r="E31" i="6" s="1"/>
  <c r="AG223" i="1"/>
  <c r="AG224" i="1"/>
  <c r="S224" i="1"/>
  <c r="Z223" i="1"/>
  <c r="AA162" i="2"/>
  <c r="M161" i="2"/>
  <c r="AF162" i="2"/>
  <c r="AG162" i="2" s="1"/>
  <c r="R161" i="2"/>
  <c r="S161" i="2" s="1"/>
  <c r="AF161" i="2"/>
  <c r="AG161" i="2" s="1"/>
  <c r="Y161" i="2"/>
  <c r="Z161" i="2" s="1"/>
  <c r="Z215" i="1" l="1"/>
  <c r="L215" i="1"/>
  <c r="AG215" i="1"/>
  <c r="S215" i="1"/>
  <c r="AD215" i="1"/>
  <c r="W215" i="1"/>
  <c r="M153" i="2"/>
  <c r="D27" i="6"/>
  <c r="C61" i="6" s="1"/>
  <c r="C60" i="6" s="1"/>
  <c r="Y11" i="2"/>
  <c r="Z11" i="2" s="1"/>
  <c r="I61" i="6"/>
  <c r="I60" i="6" s="1"/>
  <c r="E27" i="6"/>
  <c r="F45" i="5"/>
  <c r="G45" i="5" s="1"/>
  <c r="G49" i="5"/>
  <c r="M45" i="5"/>
  <c r="M49" i="5"/>
  <c r="K45" i="5"/>
  <c r="K49" i="5"/>
  <c r="I45" i="5"/>
  <c r="I49" i="5"/>
  <c r="O224" i="1"/>
  <c r="V223" i="1"/>
  <c r="T223" i="1"/>
  <c r="U223" i="1" s="1"/>
  <c r="K27" i="6"/>
  <c r="AC224" i="1"/>
  <c r="AA224" i="1"/>
  <c r="AB224" i="1" s="1"/>
  <c r="O223" i="1"/>
  <c r="M223" i="1"/>
  <c r="N223" i="1" s="1"/>
  <c r="R11" i="2"/>
  <c r="S11" i="2" s="1"/>
  <c r="T11" i="2"/>
  <c r="V224" i="1"/>
  <c r="T224" i="1"/>
  <c r="U224" i="1" s="1"/>
  <c r="AH223" i="1"/>
  <c r="AI223" i="1" s="1"/>
  <c r="AJ223" i="1"/>
  <c r="AC223" i="1"/>
  <c r="K153" i="2"/>
  <c r="L153" i="2" s="1"/>
  <c r="AH224" i="1"/>
  <c r="AI224" i="1" s="1"/>
  <c r="AJ224" i="1"/>
  <c r="AH11" i="2"/>
  <c r="AF11" i="2"/>
  <c r="AG11" i="2" s="1"/>
  <c r="AA223" i="1"/>
  <c r="AB223" i="1" s="1"/>
  <c r="T153" i="2"/>
  <c r="AA153" i="2"/>
  <c r="Y153" i="2"/>
  <c r="Z153" i="2" s="1"/>
  <c r="AF153" i="2"/>
  <c r="AG153" i="2" s="1"/>
  <c r="AH153" i="2"/>
  <c r="H61" i="6"/>
  <c r="H80" i="5"/>
  <c r="H81" i="5"/>
  <c r="H82" i="5"/>
  <c r="H84" i="5"/>
  <c r="H85" i="5"/>
  <c r="H79" i="5"/>
  <c r="H60" i="6" l="1"/>
  <c r="P27" i="6"/>
  <c r="U27" i="6"/>
  <c r="AA11" i="2"/>
  <c r="D61" i="6"/>
  <c r="D60" i="6" s="1"/>
  <c r="B60" i="6"/>
  <c r="L27" i="6"/>
  <c r="V215" i="1"/>
  <c r="O27" i="6" s="1"/>
  <c r="T215" i="1"/>
  <c r="M27" i="6" s="1"/>
  <c r="O215" i="1"/>
  <c r="J27" i="6" s="1"/>
  <c r="M215" i="1"/>
  <c r="G27" i="6"/>
  <c r="M11" i="2"/>
  <c r="L11" i="2"/>
  <c r="V27" i="6"/>
  <c r="AH215" i="1"/>
  <c r="AJ215" i="1"/>
  <c r="Y27" i="6" s="1"/>
  <c r="Q27" i="6"/>
  <c r="AA215" i="1"/>
  <c r="AC215" i="1"/>
  <c r="T27" i="6" s="1"/>
  <c r="U215" i="1" l="1"/>
  <c r="N27" i="6" s="1"/>
  <c r="N215" i="1"/>
  <c r="I27" i="6" s="1"/>
  <c r="H27" i="6"/>
  <c r="R27" i="6"/>
  <c r="AB215" i="1"/>
  <c r="S27" i="6" s="1"/>
  <c r="W27" i="6"/>
  <c r="AI215" i="1"/>
  <c r="X27" i="6" s="1"/>
  <c r="K6" i="7"/>
  <c r="K5" i="7"/>
  <c r="H78" i="1" l="1"/>
  <c r="G47" i="2"/>
  <c r="AD118" i="1" l="1"/>
  <c r="AL93" i="2"/>
  <c r="AL91" i="2"/>
  <c r="W118" i="1"/>
  <c r="J81" i="2"/>
  <c r="P118" i="1"/>
  <c r="H81" i="2"/>
  <c r="J118" i="1" s="1"/>
  <c r="J152" i="2"/>
  <c r="J150" i="2"/>
  <c r="J148" i="2"/>
  <c r="J147" i="2"/>
  <c r="J146" i="2"/>
  <c r="J142" i="2"/>
  <c r="J141" i="2"/>
  <c r="J139" i="2"/>
  <c r="J138" i="2"/>
  <c r="J137" i="2"/>
  <c r="J136" i="2"/>
  <c r="J135" i="2"/>
  <c r="J134" i="2"/>
  <c r="J133" i="2"/>
  <c r="J132" i="2"/>
  <c r="J131" i="2"/>
  <c r="J130" i="2"/>
  <c r="J129" i="2"/>
  <c r="J128" i="2"/>
  <c r="J127" i="2"/>
  <c r="J126" i="2"/>
  <c r="J125" i="2"/>
  <c r="J124" i="2"/>
  <c r="J123" i="2"/>
  <c r="J122" i="2"/>
  <c r="J121" i="2"/>
  <c r="J120" i="2"/>
  <c r="J118" i="2"/>
  <c r="J117" i="2"/>
  <c r="J116" i="2"/>
  <c r="J115" i="2"/>
  <c r="J114" i="2"/>
  <c r="J113" i="2"/>
  <c r="J112" i="2"/>
  <c r="J111" i="2"/>
  <c r="J109" i="2"/>
  <c r="J108" i="2"/>
  <c r="J107" i="2"/>
  <c r="J106" i="2"/>
  <c r="J105" i="2"/>
  <c r="J103" i="2"/>
  <c r="J102" i="2"/>
  <c r="J101" i="2"/>
  <c r="J100" i="2"/>
  <c r="J98" i="2"/>
  <c r="J96" i="2"/>
  <c r="J95" i="2"/>
  <c r="J94" i="2"/>
  <c r="J92" i="2"/>
  <c r="J90" i="2"/>
  <c r="J89" i="2"/>
  <c r="J88" i="2"/>
  <c r="J85" i="2"/>
  <c r="J84" i="2"/>
  <c r="J83" i="2"/>
  <c r="J80" i="2"/>
  <c r="J79" i="2"/>
  <c r="J78" i="2"/>
  <c r="J77" i="2"/>
  <c r="J76" i="2"/>
  <c r="J75" i="2"/>
  <c r="J74" i="2"/>
  <c r="J73" i="2"/>
  <c r="J71" i="2"/>
  <c r="J69" i="2"/>
  <c r="J68" i="2"/>
  <c r="J66" i="2"/>
  <c r="J65" i="2"/>
  <c r="J64" i="2"/>
  <c r="J63" i="2"/>
  <c r="J62" i="2"/>
  <c r="J61" i="2"/>
  <c r="J59" i="2"/>
  <c r="J58" i="2"/>
  <c r="J57" i="2"/>
  <c r="J55" i="2"/>
  <c r="J53" i="2"/>
  <c r="J50" i="2"/>
  <c r="J48" i="2"/>
  <c r="J46" i="2"/>
  <c r="J45" i="2"/>
  <c r="J44" i="2"/>
  <c r="J43" i="2"/>
  <c r="J42" i="2"/>
  <c r="J40" i="2"/>
  <c r="J35" i="2"/>
  <c r="J33" i="2"/>
  <c r="J29" i="2"/>
  <c r="J28" i="2"/>
  <c r="J27" i="2"/>
  <c r="J24" i="2"/>
  <c r="J22" i="2"/>
  <c r="J21" i="2"/>
  <c r="J20" i="2"/>
  <c r="J19" i="2"/>
  <c r="J18" i="2"/>
  <c r="J17" i="2"/>
  <c r="J16" i="2"/>
  <c r="J7" i="2" l="1"/>
  <c r="J10" i="2"/>
  <c r="K10" i="2" s="1"/>
  <c r="J56" i="2"/>
  <c r="K57" i="2"/>
  <c r="K58" i="2"/>
  <c r="F36" i="5"/>
  <c r="F14" i="5"/>
  <c r="F11" i="5"/>
  <c r="F13" i="5"/>
  <c r="F35" i="5"/>
  <c r="F43" i="5"/>
  <c r="F12" i="5"/>
  <c r="AL29" i="2"/>
  <c r="AL45" i="2"/>
  <c r="AL51" i="2"/>
  <c r="AL78" i="2"/>
  <c r="AL88" i="2"/>
  <c r="AL108" i="2"/>
  <c r="AL100" i="2"/>
  <c r="AL111" i="2"/>
  <c r="AL132" i="2"/>
  <c r="AL124" i="2"/>
  <c r="AL138" i="2"/>
  <c r="AL152" i="2"/>
  <c r="AL21" i="2"/>
  <c r="AL50" i="2"/>
  <c r="AL62" i="2"/>
  <c r="AL73" i="2"/>
  <c r="AL77" i="2"/>
  <c r="AL107" i="2"/>
  <c r="AL99" i="2"/>
  <c r="AL110" i="2"/>
  <c r="AL131" i="2"/>
  <c r="AL123" i="2"/>
  <c r="AL137" i="2"/>
  <c r="AL20" i="2"/>
  <c r="AL49" i="2"/>
  <c r="AL61" i="2"/>
  <c r="AL85" i="2"/>
  <c r="AL76" i="2"/>
  <c r="AL106" i="2"/>
  <c r="AL117" i="2"/>
  <c r="AL109" i="2"/>
  <c r="AL130" i="2"/>
  <c r="AL122" i="2"/>
  <c r="AL136" i="2"/>
  <c r="AL33" i="2"/>
  <c r="AL42" i="2"/>
  <c r="AL55" i="2"/>
  <c r="AL84" i="2"/>
  <c r="AL75" i="2"/>
  <c r="AL92" i="2"/>
  <c r="AL105" i="2"/>
  <c r="AL116" i="2"/>
  <c r="AL118" i="2"/>
  <c r="AL129" i="2"/>
  <c r="AL121" i="2"/>
  <c r="AL144" i="2"/>
  <c r="AL25" i="2"/>
  <c r="AL18" i="2"/>
  <c r="AL35" i="2"/>
  <c r="AL41" i="2"/>
  <c r="AL57" i="2"/>
  <c r="AL83" i="2"/>
  <c r="AL74" i="2"/>
  <c r="AL94" i="2"/>
  <c r="AL104" i="2"/>
  <c r="AL115" i="2"/>
  <c r="AL120" i="2"/>
  <c r="AL128" i="2"/>
  <c r="AL142" i="2"/>
  <c r="AL24" i="2"/>
  <c r="AL17" i="2"/>
  <c r="AL36" i="2"/>
  <c r="AL48" i="2"/>
  <c r="AL66" i="2"/>
  <c r="AL71" i="2"/>
  <c r="AL81" i="2"/>
  <c r="AL96" i="2"/>
  <c r="AL103" i="2"/>
  <c r="AL114" i="2"/>
  <c r="AL127" i="2"/>
  <c r="AL141" i="2"/>
  <c r="AL23" i="2"/>
  <c r="AL16" i="2"/>
  <c r="AL53" i="2"/>
  <c r="AL65" i="2"/>
  <c r="AL70" i="2"/>
  <c r="AL80" i="2"/>
  <c r="AL90" i="2"/>
  <c r="AL95" i="2"/>
  <c r="AL102" i="2"/>
  <c r="AL113" i="2"/>
  <c r="AL134" i="2"/>
  <c r="AL126" i="2"/>
  <c r="AL140" i="2"/>
  <c r="AL22" i="2"/>
  <c r="AL27" i="2"/>
  <c r="AL46" i="2"/>
  <c r="AL52" i="2"/>
  <c r="AL64" i="2"/>
  <c r="AL69" i="2"/>
  <c r="AL79" i="2"/>
  <c r="AL89" i="2"/>
  <c r="AL98" i="2"/>
  <c r="AL101" i="2"/>
  <c r="AL112" i="2"/>
  <c r="AL133" i="2"/>
  <c r="AL125" i="2"/>
  <c r="AL139" i="2"/>
  <c r="AL150" i="2"/>
  <c r="AL58" i="2"/>
  <c r="AL146" i="2"/>
  <c r="AL28" i="2"/>
  <c r="AL135" i="2"/>
  <c r="AL68" i="2"/>
  <c r="AL44" i="2"/>
  <c r="AL87" i="2"/>
  <c r="AL43" i="2"/>
  <c r="F33" i="5"/>
  <c r="L33" i="5"/>
  <c r="H33" i="5"/>
  <c r="J33" i="5"/>
  <c r="J18" i="5"/>
  <c r="H18" i="5"/>
  <c r="F18" i="5"/>
  <c r="L18" i="5"/>
  <c r="J44" i="5"/>
  <c r="H44" i="5"/>
  <c r="L44" i="5"/>
  <c r="F44" i="5"/>
  <c r="F16" i="5"/>
  <c r="J16" i="5"/>
  <c r="L16" i="5"/>
  <c r="H16" i="5"/>
  <c r="K81" i="2"/>
  <c r="L81" i="2" s="1"/>
  <c r="L118" i="1"/>
  <c r="Y81" i="2"/>
  <c r="Z81" i="2" s="1"/>
  <c r="Z118" i="1"/>
  <c r="AH81" i="2"/>
  <c r="AG118" i="1"/>
  <c r="R81" i="2"/>
  <c r="S81" i="2" s="1"/>
  <c r="S118" i="1"/>
  <c r="J47" i="2"/>
  <c r="AB47" i="2"/>
  <c r="Q47" i="2"/>
  <c r="X47" i="2"/>
  <c r="AL47" i="2" s="1"/>
  <c r="N47" i="2"/>
  <c r="U47" i="2"/>
  <c r="AE47" i="2"/>
  <c r="T81" i="2"/>
  <c r="AA81" i="2"/>
  <c r="AF81" i="2"/>
  <c r="AG81" i="2" s="1"/>
  <c r="M81" i="2"/>
  <c r="AJ118" i="1" l="1"/>
  <c r="AH118" i="1"/>
  <c r="AI118" i="1" s="1"/>
  <c r="V118" i="1"/>
  <c r="T118" i="1"/>
  <c r="U118" i="1" s="1"/>
  <c r="AC118" i="1"/>
  <c r="AA118" i="1"/>
  <c r="AB118" i="1" s="1"/>
  <c r="O118" i="1"/>
  <c r="M118" i="1"/>
  <c r="N118" i="1" s="1"/>
  <c r="H51" i="6" l="1"/>
  <c r="R15" i="2" l="1"/>
  <c r="K10" i="7"/>
  <c r="H237" i="1"/>
  <c r="H236" i="1"/>
  <c r="J237" i="1" l="1"/>
  <c r="J236" i="1"/>
  <c r="B1" i="16" l="1"/>
  <c r="F97" i="2" l="1"/>
  <c r="E43" i="6" l="1"/>
  <c r="E14" i="16" l="1"/>
  <c r="H59" i="1"/>
  <c r="H61" i="1"/>
  <c r="H179" i="1"/>
  <c r="I117" i="1" l="1"/>
  <c r="H117" i="1"/>
  <c r="E117" i="1"/>
  <c r="F117" i="1"/>
  <c r="B116" i="1"/>
  <c r="E16" i="16" l="1"/>
  <c r="H44" i="6"/>
  <c r="AL147" i="2" l="1"/>
  <c r="AL148" i="2"/>
  <c r="E3" i="16"/>
  <c r="F145" i="2"/>
  <c r="G43" i="6"/>
  <c r="H43" i="6" s="1"/>
  <c r="G16" i="16" l="1"/>
  <c r="U15" i="16" l="1"/>
  <c r="U11" i="16"/>
  <c r="U6" i="16"/>
  <c r="U8" i="16"/>
  <c r="U5" i="16"/>
  <c r="U9" i="16"/>
  <c r="U10" i="16"/>
  <c r="U7" i="16"/>
  <c r="G14" i="2" l="1"/>
  <c r="AL19" i="2" l="1"/>
  <c r="U13" i="16" s="1"/>
  <c r="B33" i="5"/>
  <c r="F14" i="2"/>
  <c r="F40" i="2"/>
  <c r="B9" i="5" l="1"/>
  <c r="F9" i="2"/>
  <c r="AL40" i="2"/>
  <c r="F30" i="2"/>
  <c r="B31" i="5"/>
  <c r="H45" i="6"/>
  <c r="H46" i="6"/>
  <c r="H47" i="6"/>
  <c r="H48" i="6"/>
  <c r="H49" i="6"/>
  <c r="H50" i="6"/>
  <c r="H52" i="6"/>
  <c r="H53" i="6"/>
  <c r="H54" i="6"/>
  <c r="H55" i="6"/>
  <c r="H75" i="5"/>
  <c r="H73" i="5"/>
  <c r="H72" i="5"/>
  <c r="H71" i="5"/>
  <c r="H69" i="5"/>
  <c r="H68" i="5"/>
  <c r="H66" i="5"/>
  <c r="B65" i="5" l="1"/>
  <c r="H74" i="5"/>
  <c r="H65" i="5"/>
  <c r="H67" i="5"/>
  <c r="H70" i="5"/>
  <c r="H104" i="2"/>
  <c r="H80" i="2" l="1"/>
  <c r="J117" i="1" s="1"/>
  <c r="P117" i="1"/>
  <c r="W117" i="1"/>
  <c r="AD117" i="1"/>
  <c r="Y80" i="2" l="1"/>
  <c r="Z80" i="2" s="1"/>
  <c r="Z117" i="1"/>
  <c r="M80" i="2"/>
  <c r="L117" i="1"/>
  <c r="R80" i="2"/>
  <c r="S80" i="2" s="1"/>
  <c r="S117" i="1"/>
  <c r="AF80" i="2"/>
  <c r="AG80" i="2" s="1"/>
  <c r="AG117" i="1"/>
  <c r="AA80" i="2"/>
  <c r="K80" i="2"/>
  <c r="L80" i="2" s="1"/>
  <c r="AH80" i="2"/>
  <c r="T80" i="2"/>
  <c r="G72" i="2"/>
  <c r="T117" i="1" l="1"/>
  <c r="U117" i="1" s="1"/>
  <c r="V117" i="1"/>
  <c r="AJ117" i="1"/>
  <c r="AH117" i="1"/>
  <c r="AI117" i="1" s="1"/>
  <c r="O117" i="1"/>
  <c r="M117" i="1"/>
  <c r="N117" i="1" s="1"/>
  <c r="AC117" i="1"/>
  <c r="AA117" i="1"/>
  <c r="AB117" i="1" s="1"/>
  <c r="AL63" i="2" l="1"/>
  <c r="B37" i="5"/>
  <c r="C27" i="5" l="1"/>
  <c r="B27" i="5"/>
  <c r="I200" i="1"/>
  <c r="K200" i="1"/>
  <c r="E200" i="1"/>
  <c r="F200" i="1"/>
  <c r="G200" i="1"/>
  <c r="H200" i="1"/>
  <c r="I74" i="5" l="1"/>
  <c r="C70" i="5" l="1"/>
  <c r="D15" i="16" s="1"/>
  <c r="F15" i="16" l="1"/>
  <c r="Q15" i="16" s="1"/>
  <c r="I70" i="5"/>
  <c r="N15" i="16" l="1"/>
  <c r="AD200" i="1" l="1"/>
  <c r="W200" i="1"/>
  <c r="H140" i="2"/>
  <c r="J200" i="1" s="1"/>
  <c r="L200" i="1"/>
  <c r="P200" i="1"/>
  <c r="K21" i="2"/>
  <c r="R140" i="2" l="1"/>
  <c r="S140" i="2" s="1"/>
  <c r="S200" i="1"/>
  <c r="O200" i="1"/>
  <c r="M200" i="1"/>
  <c r="N200" i="1" s="1"/>
  <c r="AA140" i="2"/>
  <c r="Z200" i="1"/>
  <c r="AF140" i="2"/>
  <c r="AG140" i="2" s="1"/>
  <c r="AG200" i="1"/>
  <c r="K140" i="2"/>
  <c r="L140" i="2" s="1"/>
  <c r="Y140" i="2"/>
  <c r="Z140" i="2" s="1"/>
  <c r="AH140" i="2"/>
  <c r="T140" i="2"/>
  <c r="M140" i="2"/>
  <c r="AJ200" i="1" l="1"/>
  <c r="AH200" i="1"/>
  <c r="AI200" i="1" s="1"/>
  <c r="AC200" i="1"/>
  <c r="AA200" i="1"/>
  <c r="AB200" i="1" s="1"/>
  <c r="V200" i="1"/>
  <c r="T200" i="1"/>
  <c r="U200" i="1" s="1"/>
  <c r="H51" i="2" l="1"/>
  <c r="K51" i="2"/>
  <c r="L51" i="2" s="1"/>
  <c r="H52" i="2"/>
  <c r="K52" i="2"/>
  <c r="L52" i="2" s="1"/>
  <c r="H53" i="2"/>
  <c r="K53" i="2"/>
  <c r="L53" i="2" s="1"/>
  <c r="H54" i="2"/>
  <c r="J78" i="1" s="1"/>
  <c r="M54" i="2"/>
  <c r="H55" i="2"/>
  <c r="G56" i="2"/>
  <c r="I56" i="2"/>
  <c r="K55" i="2" l="1"/>
  <c r="L55" i="2" s="1"/>
  <c r="K54" i="2"/>
  <c r="L54" i="2" s="1"/>
  <c r="M53" i="2"/>
  <c r="M55" i="2"/>
  <c r="M52" i="2"/>
  <c r="M51" i="2"/>
  <c r="H130" i="2" l="1"/>
  <c r="E5" i="5" l="1"/>
  <c r="F4" i="6"/>
  <c r="K4" i="1"/>
  <c r="F59" i="2" l="1"/>
  <c r="F10" i="2" s="1"/>
  <c r="F6" i="2" s="1"/>
  <c r="AL59" i="2" l="1"/>
  <c r="U12" i="16" s="1"/>
  <c r="B44" i="5"/>
  <c r="B16" i="5"/>
  <c r="B72" i="5" s="1"/>
  <c r="F56" i="2"/>
  <c r="K56" i="2" l="1"/>
  <c r="I178" i="2"/>
  <c r="H177" i="2" l="1"/>
  <c r="H175" i="2"/>
  <c r="H122" i="2"/>
  <c r="AF33" i="2" l="1"/>
  <c r="AG33" i="2" s="1"/>
  <c r="Y33" i="2"/>
  <c r="Z33" i="2" s="1"/>
  <c r="R33" i="2"/>
  <c r="S33" i="2" s="1"/>
  <c r="K33" i="2"/>
  <c r="L33" i="2" s="1"/>
  <c r="M33" i="2" l="1"/>
  <c r="AA33" i="2"/>
  <c r="T33" i="2"/>
  <c r="AH33" i="2"/>
  <c r="H66" i="2"/>
  <c r="H98" i="2" l="1"/>
  <c r="H126" i="2" l="1"/>
  <c r="H176" i="2" l="1"/>
  <c r="H178" i="2"/>
  <c r="I235" i="1"/>
  <c r="D30" i="6" s="1"/>
  <c r="G57" i="6" s="1"/>
  <c r="G58" i="6" s="1"/>
  <c r="C56" i="5" l="1"/>
  <c r="H235" i="1" l="1"/>
  <c r="B56" i="5" s="1"/>
  <c r="F76" i="5" l="1"/>
  <c r="C30" i="6"/>
  <c r="J235" i="1"/>
  <c r="D56" i="5" s="1"/>
  <c r="G69" i="1"/>
  <c r="G34" i="1"/>
  <c r="G19" i="1"/>
  <c r="G20" i="1"/>
  <c r="G21" i="1"/>
  <c r="G22" i="1"/>
  <c r="G25" i="1"/>
  <c r="G26" i="1"/>
  <c r="G27" i="1"/>
  <c r="G29" i="1"/>
  <c r="G30" i="1"/>
  <c r="G31" i="1"/>
  <c r="G37" i="1"/>
  <c r="G38" i="1"/>
  <c r="G42" i="1"/>
  <c r="G43" i="1"/>
  <c r="G44" i="1"/>
  <c r="G45" i="1"/>
  <c r="G46" i="1"/>
  <c r="G47" i="1"/>
  <c r="G50" i="1"/>
  <c r="G51" i="1"/>
  <c r="G54" i="1"/>
  <c r="G55" i="1"/>
  <c r="G57" i="1"/>
  <c r="G59" i="1"/>
  <c r="G61" i="1"/>
  <c r="G62" i="1"/>
  <c r="G63" i="1"/>
  <c r="G66" i="1"/>
  <c r="G70" i="1"/>
  <c r="G71" i="1"/>
  <c r="G73" i="1"/>
  <c r="G75" i="1"/>
  <c r="G78" i="1"/>
  <c r="G79" i="1"/>
  <c r="G82" i="1"/>
  <c r="G83" i="1"/>
  <c r="G86" i="1"/>
  <c r="G87" i="1"/>
  <c r="G88" i="1"/>
  <c r="G90" i="1"/>
  <c r="G93" i="1"/>
  <c r="G95" i="1"/>
  <c r="G96" i="1"/>
  <c r="G97" i="1"/>
  <c r="G101" i="1"/>
  <c r="G103" i="1"/>
  <c r="G104" i="1"/>
  <c r="G105" i="1"/>
  <c r="G108" i="1"/>
  <c r="G109" i="1"/>
  <c r="G111" i="1"/>
  <c r="G112" i="1"/>
  <c r="G114" i="1"/>
  <c r="G115" i="1"/>
  <c r="G116" i="1"/>
  <c r="G122" i="1"/>
  <c r="G123" i="1"/>
  <c r="G125" i="1"/>
  <c r="G128" i="1"/>
  <c r="G130" i="1"/>
  <c r="G131" i="1"/>
  <c r="G134" i="1"/>
  <c r="G135" i="1"/>
  <c r="G136" i="1"/>
  <c r="G137" i="1"/>
  <c r="G138" i="1"/>
  <c r="G140" i="1"/>
  <c r="G141" i="1"/>
  <c r="G144" i="1"/>
  <c r="G145" i="1"/>
  <c r="G146" i="1"/>
  <c r="G147" i="1"/>
  <c r="G149" i="1"/>
  <c r="G150" i="1"/>
  <c r="G151" i="1"/>
  <c r="G152" i="1"/>
  <c r="G155" i="1"/>
  <c r="G156" i="1"/>
  <c r="G158" i="1"/>
  <c r="G159" i="1"/>
  <c r="G160" i="1"/>
  <c r="G161" i="1"/>
  <c r="G162" i="1"/>
  <c r="G164" i="1"/>
  <c r="G165" i="1"/>
  <c r="G167" i="1"/>
  <c r="G169" i="1"/>
  <c r="G170" i="1"/>
  <c r="G171" i="1"/>
  <c r="G175" i="1"/>
  <c r="G176" i="1"/>
  <c r="G177" i="1"/>
  <c r="G178" i="1"/>
  <c r="G179" i="1"/>
  <c r="G181" i="1"/>
  <c r="G182" i="1"/>
  <c r="G183" i="1"/>
  <c r="G184" i="1"/>
  <c r="G187" i="1"/>
  <c r="G188" i="1"/>
  <c r="G189" i="1"/>
  <c r="G191" i="1"/>
  <c r="G192" i="1"/>
  <c r="G194" i="1"/>
  <c r="G196" i="1"/>
  <c r="G197" i="1"/>
  <c r="G198" i="1"/>
  <c r="G199" i="1"/>
  <c r="G203" i="1"/>
  <c r="G204" i="1"/>
  <c r="G206" i="1"/>
  <c r="G208" i="1"/>
  <c r="G209" i="1"/>
  <c r="G210" i="1"/>
  <c r="G212" i="1"/>
  <c r="G214" i="1"/>
  <c r="G18" i="1"/>
  <c r="E57" i="6" l="1"/>
  <c r="E58" i="6" s="1"/>
  <c r="F77" i="5"/>
  <c r="I77" i="5" s="1"/>
  <c r="H76" i="5"/>
  <c r="H77" i="5" s="1"/>
  <c r="I76" i="5"/>
  <c r="E30" i="6"/>
  <c r="H57" i="6" l="1"/>
  <c r="H58" i="6" s="1"/>
  <c r="I57" i="6"/>
  <c r="B137" i="1"/>
  <c r="H91" i="2" l="1"/>
  <c r="H21" i="2" l="1"/>
  <c r="R16" i="2" l="1"/>
  <c r="R17" i="2"/>
  <c r="R18" i="2"/>
  <c r="R19" i="2"/>
  <c r="R20" i="2"/>
  <c r="R21" i="2"/>
  <c r="R22" i="2"/>
  <c r="R23" i="2"/>
  <c r="R24" i="2"/>
  <c r="R25" i="2"/>
  <c r="R28" i="2"/>
  <c r="R29" i="2"/>
  <c r="R35" i="2"/>
  <c r="R36" i="2"/>
  <c r="R40" i="2"/>
  <c r="R41" i="2"/>
  <c r="R42" i="2"/>
  <c r="R44" i="2"/>
  <c r="R45" i="2"/>
  <c r="R46" i="2"/>
  <c r="R48" i="2"/>
  <c r="R49" i="2"/>
  <c r="R50" i="2"/>
  <c r="R51" i="2"/>
  <c r="R52" i="2"/>
  <c r="R53" i="2"/>
  <c r="R54" i="2"/>
  <c r="R60" i="2"/>
  <c r="R61" i="2"/>
  <c r="R62" i="2"/>
  <c r="R63" i="2"/>
  <c r="R64" i="2"/>
  <c r="R65" i="2"/>
  <c r="R66" i="2"/>
  <c r="R68" i="2"/>
  <c r="R69" i="2"/>
  <c r="R70" i="2"/>
  <c r="R71" i="2"/>
  <c r="R73" i="2"/>
  <c r="R75" i="2"/>
  <c r="R76" i="2"/>
  <c r="R77" i="2"/>
  <c r="R78" i="2"/>
  <c r="R79" i="2"/>
  <c r="R83" i="2"/>
  <c r="R84" i="2"/>
  <c r="R85" i="2"/>
  <c r="R87" i="2"/>
  <c r="R88" i="2"/>
  <c r="R89" i="2"/>
  <c r="R90" i="2"/>
  <c r="R92" i="2"/>
  <c r="R93" i="2"/>
  <c r="R94" i="2"/>
  <c r="S94" i="2" s="1"/>
  <c r="R95" i="2"/>
  <c r="R96" i="2"/>
  <c r="R98" i="2"/>
  <c r="R100" i="2"/>
  <c r="R101" i="2"/>
  <c r="R102" i="2"/>
  <c r="R103" i="2"/>
  <c r="R104" i="2"/>
  <c r="R105" i="2"/>
  <c r="R106" i="2"/>
  <c r="R108" i="2"/>
  <c r="R110" i="2"/>
  <c r="R111" i="2"/>
  <c r="R112" i="2"/>
  <c r="R113" i="2"/>
  <c r="R114" i="2"/>
  <c r="R115" i="2"/>
  <c r="R116" i="2"/>
  <c r="R117" i="2"/>
  <c r="R118" i="2"/>
  <c r="R120" i="2"/>
  <c r="R122" i="2"/>
  <c r="R123" i="2"/>
  <c r="R124" i="2"/>
  <c r="R125" i="2"/>
  <c r="R126" i="2"/>
  <c r="R127" i="2"/>
  <c r="R128" i="2"/>
  <c r="R129" i="2"/>
  <c r="R130" i="2"/>
  <c r="R131" i="2"/>
  <c r="R132" i="2"/>
  <c r="R133" i="2"/>
  <c r="R134" i="2"/>
  <c r="R136" i="2"/>
  <c r="R137" i="2"/>
  <c r="R138" i="2"/>
  <c r="R139" i="2"/>
  <c r="R141" i="2"/>
  <c r="R142" i="2"/>
  <c r="R144" i="2"/>
  <c r="R146" i="2"/>
  <c r="R148" i="2"/>
  <c r="Q149" i="2"/>
  <c r="Q151" i="2"/>
  <c r="T151" i="2" s="1"/>
  <c r="R59" i="2" l="1"/>
  <c r="R55" i="2"/>
  <c r="R135" i="2"/>
  <c r="H27" i="5"/>
  <c r="R43" i="2"/>
  <c r="R27" i="2"/>
  <c r="R150" i="2"/>
  <c r="Q119" i="2"/>
  <c r="Q97" i="2"/>
  <c r="R152" i="2"/>
  <c r="Q145" i="2"/>
  <c r="Q26" i="2"/>
  <c r="Q14" i="2"/>
  <c r="Q72" i="2"/>
  <c r="Q86" i="2"/>
  <c r="Q56" i="2"/>
  <c r="R147" i="2"/>
  <c r="R121" i="2"/>
  <c r="R99" i="2"/>
  <c r="R91" i="2"/>
  <c r="R74" i="2"/>
  <c r="A1" i="7"/>
  <c r="A1" i="10"/>
  <c r="B1" i="5"/>
  <c r="A1" i="5"/>
  <c r="A1" i="6"/>
  <c r="C1" i="6"/>
  <c r="A1" i="1"/>
  <c r="D1" i="1"/>
  <c r="H128" i="2" l="1"/>
  <c r="E22" i="5" l="1"/>
  <c r="C22" i="5"/>
  <c r="B22" i="5"/>
  <c r="E10" i="5"/>
  <c r="C10" i="5"/>
  <c r="B10" i="5"/>
  <c r="C66" i="5" l="1"/>
  <c r="F8" i="16" s="1"/>
  <c r="Q8" i="16" s="1"/>
  <c r="B66" i="5"/>
  <c r="D8" i="16" s="1"/>
  <c r="D10" i="5"/>
  <c r="D66" i="5" s="1"/>
  <c r="K9" i="7"/>
  <c r="K8" i="7"/>
  <c r="K7" i="7"/>
  <c r="K3" i="7"/>
  <c r="I66" i="5" l="1"/>
  <c r="B108" i="1"/>
  <c r="N8" i="16" l="1"/>
  <c r="B150" i="1"/>
  <c r="I28" i="2" l="1"/>
  <c r="K51" i="1" l="1"/>
  <c r="K43" i="1"/>
  <c r="R145" i="2" l="1"/>
  <c r="I7" i="2"/>
  <c r="H147" i="2" l="1"/>
  <c r="H148" i="2"/>
  <c r="H146" i="2"/>
  <c r="H145" i="2" l="1"/>
  <c r="G145" i="2"/>
  <c r="I145" i="2"/>
  <c r="J210" i="1"/>
  <c r="M148" i="2"/>
  <c r="P210" i="1"/>
  <c r="S148" i="2"/>
  <c r="W210" i="1"/>
  <c r="Y148" i="2"/>
  <c r="Z148" i="2" s="1"/>
  <c r="AD210" i="1"/>
  <c r="AF148" i="2"/>
  <c r="AG148" i="2" s="1"/>
  <c r="I210" i="1"/>
  <c r="K210" i="1"/>
  <c r="H210" i="1"/>
  <c r="F210" i="1"/>
  <c r="E210" i="1"/>
  <c r="S210" i="1" l="1"/>
  <c r="V210" i="1" s="1"/>
  <c r="T148" i="2"/>
  <c r="AG210" i="1"/>
  <c r="AH210" i="1" s="1"/>
  <c r="AI210" i="1" s="1"/>
  <c r="L210" i="1"/>
  <c r="M210" i="1" s="1"/>
  <c r="N210" i="1" s="1"/>
  <c r="AH148" i="2"/>
  <c r="Z210" i="1"/>
  <c r="AA148" i="2"/>
  <c r="K148" i="2"/>
  <c r="L148" i="2" s="1"/>
  <c r="T210" i="1" l="1"/>
  <c r="U210" i="1" s="1"/>
  <c r="O210" i="1"/>
  <c r="AJ210" i="1"/>
  <c r="AA210" i="1"/>
  <c r="AB210" i="1" s="1"/>
  <c r="AC210" i="1"/>
  <c r="D50" i="1"/>
  <c r="B24" i="5" l="1"/>
  <c r="E193" i="1"/>
  <c r="I69" i="5" l="1"/>
  <c r="K193" i="1" l="1"/>
  <c r="I193" i="1"/>
  <c r="H193" i="1"/>
  <c r="F193" i="1"/>
  <c r="H132" i="2" l="1"/>
  <c r="W193" i="1"/>
  <c r="AA134" i="2"/>
  <c r="AD193" i="1"/>
  <c r="AG193" i="1"/>
  <c r="P193" i="1"/>
  <c r="H134" i="2"/>
  <c r="J193" i="1" s="1"/>
  <c r="H133" i="2"/>
  <c r="K134" i="2" l="1"/>
  <c r="L134" i="2" s="1"/>
  <c r="L193" i="1"/>
  <c r="AJ193" i="1"/>
  <c r="AH193" i="1"/>
  <c r="AI193" i="1" s="1"/>
  <c r="AH134" i="2"/>
  <c r="S134" i="2"/>
  <c r="S193" i="1"/>
  <c r="V193" i="1" s="1"/>
  <c r="AF134" i="2"/>
  <c r="AG134" i="2" s="1"/>
  <c r="Y134" i="2"/>
  <c r="Z134" i="2" s="1"/>
  <c r="Z193" i="1"/>
  <c r="M134" i="2"/>
  <c r="T134" i="2"/>
  <c r="T193" i="1" l="1"/>
  <c r="U193" i="1" s="1"/>
  <c r="AC193" i="1"/>
  <c r="AA193" i="1"/>
  <c r="AB193" i="1" s="1"/>
  <c r="M193" i="1"/>
  <c r="N193" i="1" s="1"/>
  <c r="O193" i="1"/>
  <c r="B63" i="1" l="1"/>
  <c r="E34" i="1" l="1"/>
  <c r="E37" i="1"/>
  <c r="E38" i="1"/>
  <c r="E31" i="1"/>
  <c r="R56" i="2" l="1"/>
  <c r="Y76" i="2" l="1"/>
  <c r="Y77" i="2"/>
  <c r="Y83" i="2"/>
  <c r="Y94" i="2"/>
  <c r="Z94" i="2" s="1"/>
  <c r="X149" i="2"/>
  <c r="X151" i="2"/>
  <c r="AA151" i="2" l="1"/>
  <c r="Y151" i="2"/>
  <c r="Z151" i="2" s="1"/>
  <c r="J15" i="16"/>
  <c r="X145" i="2"/>
  <c r="AL145" i="2" s="1"/>
  <c r="J27" i="5"/>
  <c r="J10" i="16"/>
  <c r="J10" i="5"/>
  <c r="J8" i="16" s="1"/>
  <c r="J22" i="5"/>
  <c r="J24" i="5"/>
  <c r="J11" i="16"/>
  <c r="X26" i="2"/>
  <c r="X72" i="2"/>
  <c r="AL72" i="2" s="1"/>
  <c r="X86" i="2"/>
  <c r="X56" i="2"/>
  <c r="AL56" i="2" s="1"/>
  <c r="X119" i="2"/>
  <c r="X97" i="2"/>
  <c r="X14" i="2"/>
  <c r="K8" i="16" l="1"/>
  <c r="L8" i="16" s="1"/>
  <c r="K15" i="16"/>
  <c r="L15" i="16" s="1"/>
  <c r="M8" i="16"/>
  <c r="M15" i="16"/>
  <c r="B122" i="1"/>
  <c r="P15" i="16" l="1"/>
  <c r="P8" i="16"/>
  <c r="H44" i="2"/>
  <c r="E26" i="5" l="1"/>
  <c r="B26" i="5"/>
  <c r="E17" i="5"/>
  <c r="B17" i="5"/>
  <c r="B73" i="5" s="1"/>
  <c r="I63" i="1"/>
  <c r="H63" i="1"/>
  <c r="J61" i="1"/>
  <c r="H62" i="1"/>
  <c r="R8" i="2"/>
  <c r="I73" i="5" l="1"/>
  <c r="R26" i="2"/>
  <c r="I30" i="2"/>
  <c r="G30" i="2"/>
  <c r="H60" i="1"/>
  <c r="J63" i="1"/>
  <c r="K63" i="1"/>
  <c r="K46" i="2"/>
  <c r="P63" i="1"/>
  <c r="S46" i="2"/>
  <c r="W63" i="1"/>
  <c r="Z63" i="1"/>
  <c r="AD63" i="1"/>
  <c r="AF46" i="2"/>
  <c r="AG46" i="2" s="1"/>
  <c r="L63" i="1" l="1"/>
  <c r="M63" i="1" s="1"/>
  <c r="N63" i="1" s="1"/>
  <c r="M46" i="2"/>
  <c r="L46" i="2" s="1"/>
  <c r="AA63" i="1"/>
  <c r="AB63" i="1" s="1"/>
  <c r="AC63" i="1"/>
  <c r="S63" i="1"/>
  <c r="AA46" i="2"/>
  <c r="T46" i="2"/>
  <c r="Y46" i="2"/>
  <c r="Z46" i="2" s="1"/>
  <c r="AG63" i="1"/>
  <c r="AJ63" i="1" s="1"/>
  <c r="AH46" i="2"/>
  <c r="I47" i="2"/>
  <c r="T63" i="1" l="1"/>
  <c r="U63" i="1" s="1"/>
  <c r="V63" i="1"/>
  <c r="O63" i="1"/>
  <c r="AH63" i="1"/>
  <c r="AI63" i="1" s="1"/>
  <c r="K11" i="7" l="1"/>
  <c r="K138" i="1"/>
  <c r="B17" i="1" l="1"/>
  <c r="B18" i="1"/>
  <c r="B19" i="1"/>
  <c r="B20" i="1"/>
  <c r="B21" i="1"/>
  <c r="B22" i="1"/>
  <c r="B23" i="1"/>
  <c r="B24" i="1"/>
  <c r="B25" i="1"/>
  <c r="B26" i="1"/>
  <c r="B27" i="1"/>
  <c r="B28" i="1"/>
  <c r="B29" i="1"/>
  <c r="B30" i="1"/>
  <c r="B31" i="1"/>
  <c r="B32" i="1"/>
  <c r="B33" i="1"/>
  <c r="B34" i="1"/>
  <c r="B36" i="1"/>
  <c r="B37" i="1"/>
  <c r="B38" i="1"/>
  <c r="B39" i="1"/>
  <c r="B40" i="1"/>
  <c r="B41" i="1"/>
  <c r="B42" i="1"/>
  <c r="B43" i="1"/>
  <c r="B44" i="1"/>
  <c r="B45" i="1"/>
  <c r="B46" i="1"/>
  <c r="B47" i="1"/>
  <c r="B49" i="1"/>
  <c r="B50" i="1"/>
  <c r="B51" i="1"/>
  <c r="B52" i="1"/>
  <c r="B53" i="1"/>
  <c r="B54" i="1"/>
  <c r="B55" i="1"/>
  <c r="B56" i="1"/>
  <c r="B57" i="1"/>
  <c r="B58" i="1"/>
  <c r="B59" i="1"/>
  <c r="B60" i="1"/>
  <c r="B61" i="1"/>
  <c r="B62"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7" i="1"/>
  <c r="B100" i="1"/>
  <c r="B101" i="1"/>
  <c r="B102" i="1"/>
  <c r="B103" i="1"/>
  <c r="B104" i="1"/>
  <c r="B105" i="1"/>
  <c r="B106" i="1"/>
  <c r="B107" i="1"/>
  <c r="B109" i="1"/>
  <c r="B110" i="1"/>
  <c r="B111" i="1"/>
  <c r="B112" i="1"/>
  <c r="B113" i="1"/>
  <c r="B114" i="1"/>
  <c r="B115" i="1"/>
  <c r="B120" i="1"/>
  <c r="B121" i="1"/>
  <c r="B123" i="1"/>
  <c r="B124" i="1"/>
  <c r="B125" i="1"/>
  <c r="B126" i="1"/>
  <c r="B127" i="1"/>
  <c r="B128" i="1"/>
  <c r="B129" i="1"/>
  <c r="B130" i="1"/>
  <c r="B131" i="1"/>
  <c r="B132" i="1"/>
  <c r="B133" i="1"/>
  <c r="B134" i="1"/>
  <c r="B135" i="1"/>
  <c r="B136" i="1"/>
  <c r="B139" i="1"/>
  <c r="B140" i="1"/>
  <c r="B141" i="1"/>
  <c r="B142" i="1"/>
  <c r="B143" i="1"/>
  <c r="B144" i="1"/>
  <c r="B145" i="1"/>
  <c r="B146" i="1"/>
  <c r="B147" i="1"/>
  <c r="B148" i="1"/>
  <c r="B149"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4" i="1"/>
  <c r="B195" i="1"/>
  <c r="B196" i="1"/>
  <c r="B197" i="1"/>
  <c r="B198" i="1"/>
  <c r="B199" i="1"/>
  <c r="B201" i="1"/>
  <c r="B202" i="1"/>
  <c r="B203" i="1"/>
  <c r="B204" i="1"/>
  <c r="B206" i="1"/>
  <c r="B207" i="1"/>
  <c r="B208" i="1"/>
  <c r="B209" i="1"/>
  <c r="B212" i="1"/>
  <c r="B213" i="1"/>
  <c r="B15" i="1"/>
  <c r="B16" i="1"/>
  <c r="AE151" i="2" l="1"/>
  <c r="AE149" i="2"/>
  <c r="AD98" i="1"/>
  <c r="AD97" i="1" s="1"/>
  <c r="J17" i="5"/>
  <c r="J5" i="16" s="1"/>
  <c r="W98" i="1"/>
  <c r="W97" i="1" s="1"/>
  <c r="P98" i="1"/>
  <c r="P97" i="1" s="1"/>
  <c r="AF151" i="2" l="1"/>
  <c r="AG151" i="2" s="1"/>
  <c r="AH151" i="2"/>
  <c r="H15" i="16"/>
  <c r="I15" i="16" s="1"/>
  <c r="L27" i="5"/>
  <c r="H10" i="16"/>
  <c r="H10" i="5"/>
  <c r="H22" i="5"/>
  <c r="L22" i="5"/>
  <c r="L10" i="5"/>
  <c r="H8" i="16" s="1"/>
  <c r="I8" i="16" s="1"/>
  <c r="AE145" i="2"/>
  <c r="N145" i="2"/>
  <c r="U145" i="2"/>
  <c r="AB145" i="2"/>
  <c r="H24" i="5"/>
  <c r="L24" i="5"/>
  <c r="H11" i="16"/>
  <c r="AE14" i="2"/>
  <c r="AE72" i="2"/>
  <c r="AE86" i="2"/>
  <c r="AE97" i="2"/>
  <c r="AE56" i="2"/>
  <c r="AE119" i="2"/>
  <c r="AE26" i="2"/>
  <c r="H26" i="5"/>
  <c r="L26" i="5"/>
  <c r="J26" i="5"/>
  <c r="H17" i="5"/>
  <c r="L17" i="5"/>
  <c r="H5" i="16" s="1"/>
  <c r="N30" i="2"/>
  <c r="U30" i="2"/>
  <c r="AB30" i="2"/>
  <c r="K147" i="2"/>
  <c r="L147" i="2" s="1"/>
  <c r="K94" i="2"/>
  <c r="L94" i="2" s="1"/>
  <c r="K76" i="2"/>
  <c r="L76" i="2" s="1"/>
  <c r="K77" i="2"/>
  <c r="K79" i="2"/>
  <c r="K83" i="2"/>
  <c r="M22" i="2"/>
  <c r="F27" i="5" l="1"/>
  <c r="L56" i="2"/>
  <c r="F10" i="5"/>
  <c r="F22" i="5"/>
  <c r="J145" i="2"/>
  <c r="F24" i="5"/>
  <c r="F17" i="5"/>
  <c r="F26" i="5"/>
  <c r="AA47" i="2"/>
  <c r="AH47" i="2"/>
  <c r="T47" i="2"/>
  <c r="K42" i="1"/>
  <c r="K214" i="1"/>
  <c r="K212" i="1"/>
  <c r="K211" i="1" s="1"/>
  <c r="F25" i="6" s="1"/>
  <c r="K209" i="1"/>
  <c r="K208" i="1"/>
  <c r="K206" i="1"/>
  <c r="K204" i="1"/>
  <c r="K203" i="1"/>
  <c r="K199" i="1"/>
  <c r="K198" i="1"/>
  <c r="K197" i="1"/>
  <c r="K196" i="1"/>
  <c r="K194" i="1"/>
  <c r="K192" i="1"/>
  <c r="K191" i="1"/>
  <c r="K189" i="1"/>
  <c r="K188" i="1"/>
  <c r="K187" i="1"/>
  <c r="K184" i="1"/>
  <c r="K183" i="1"/>
  <c r="K182" i="1"/>
  <c r="K181" i="1"/>
  <c r="K179" i="1"/>
  <c r="K178" i="1"/>
  <c r="K177" i="1"/>
  <c r="K176" i="1"/>
  <c r="K175" i="1"/>
  <c r="K171" i="1"/>
  <c r="K170" i="1"/>
  <c r="K169" i="1"/>
  <c r="K167" i="1"/>
  <c r="K166" i="1" s="1"/>
  <c r="K165" i="1"/>
  <c r="K164" i="1"/>
  <c r="K162" i="1"/>
  <c r="K161" i="1"/>
  <c r="K160" i="1"/>
  <c r="K159" i="1"/>
  <c r="K158" i="1"/>
  <c r="K156" i="1"/>
  <c r="K155" i="1"/>
  <c r="K152" i="1"/>
  <c r="K151" i="1"/>
  <c r="K150" i="1"/>
  <c r="K149" i="1"/>
  <c r="K147" i="1"/>
  <c r="K146" i="1"/>
  <c r="K145" i="1"/>
  <c r="K144" i="1"/>
  <c r="K141" i="1"/>
  <c r="K140" i="1"/>
  <c r="K137" i="1"/>
  <c r="K136" i="1"/>
  <c r="K135" i="1"/>
  <c r="K134" i="1"/>
  <c r="K131" i="1"/>
  <c r="K130" i="1"/>
  <c r="K128" i="1"/>
  <c r="K125" i="1"/>
  <c r="K124" i="1" s="1"/>
  <c r="K123" i="1"/>
  <c r="K122" i="1"/>
  <c r="K116" i="1"/>
  <c r="K115" i="1"/>
  <c r="K114" i="1"/>
  <c r="K112" i="1"/>
  <c r="K111" i="1"/>
  <c r="K109" i="1"/>
  <c r="K108" i="1"/>
  <c r="K105" i="1"/>
  <c r="K104" i="1"/>
  <c r="K103" i="1"/>
  <c r="K101" i="1"/>
  <c r="K100" i="1" s="1"/>
  <c r="K98" i="1"/>
  <c r="K97" i="1" s="1"/>
  <c r="K96" i="1"/>
  <c r="K95" i="1"/>
  <c r="K93" i="1"/>
  <c r="K92" i="1" s="1"/>
  <c r="K90" i="1"/>
  <c r="K89" i="1" s="1"/>
  <c r="K88" i="1"/>
  <c r="K87" i="1"/>
  <c r="K86" i="1"/>
  <c r="K83" i="1"/>
  <c r="K82" i="1"/>
  <c r="K79" i="1"/>
  <c r="K78" i="1"/>
  <c r="K75" i="1"/>
  <c r="K74" i="1" s="1"/>
  <c r="K73" i="1"/>
  <c r="K72" i="1" s="1"/>
  <c r="K71" i="1"/>
  <c r="K70" i="1"/>
  <c r="K69" i="1"/>
  <c r="K66" i="1"/>
  <c r="K65" i="1" s="1"/>
  <c r="K62" i="1"/>
  <c r="K61" i="1"/>
  <c r="K59" i="1"/>
  <c r="K57" i="1"/>
  <c r="K56" i="1" s="1"/>
  <c r="K55" i="1"/>
  <c r="K54" i="1"/>
  <c r="K50" i="1"/>
  <c r="K49" i="1" s="1"/>
  <c r="K47" i="1"/>
  <c r="K46" i="1"/>
  <c r="K45" i="1"/>
  <c r="K38" i="1"/>
  <c r="K37" i="1"/>
  <c r="K34" i="1"/>
  <c r="K33" i="1" s="1"/>
  <c r="K31" i="1"/>
  <c r="K30" i="1"/>
  <c r="K29" i="1"/>
  <c r="K27" i="1"/>
  <c r="K26" i="1"/>
  <c r="K25" i="1"/>
  <c r="K22" i="1"/>
  <c r="K21" i="1"/>
  <c r="K20" i="1"/>
  <c r="K19" i="1"/>
  <c r="K18" i="1"/>
  <c r="E44" i="5"/>
  <c r="E43" i="5"/>
  <c r="E42" i="5"/>
  <c r="E41" i="5"/>
  <c r="E39" i="5"/>
  <c r="E38" i="5"/>
  <c r="E37" i="5"/>
  <c r="E36" i="5"/>
  <c r="E35" i="5"/>
  <c r="E34" i="5"/>
  <c r="E33" i="5"/>
  <c r="E32" i="5"/>
  <c r="E31" i="5"/>
  <c r="E29" i="5"/>
  <c r="E28" i="5" s="1"/>
  <c r="E27" i="5"/>
  <c r="E25" i="5"/>
  <c r="E24" i="5"/>
  <c r="E23" i="5"/>
  <c r="E19" i="5"/>
  <c r="E18" i="5"/>
  <c r="E16" i="5"/>
  <c r="E15" i="5"/>
  <c r="E14" i="5"/>
  <c r="E13" i="5"/>
  <c r="E12" i="5"/>
  <c r="E11" i="5"/>
  <c r="E9" i="5"/>
  <c r="K213" i="1" l="1"/>
  <c r="F26" i="6" s="1"/>
  <c r="F27" i="6"/>
  <c r="K77" i="1"/>
  <c r="K76" i="1" s="1"/>
  <c r="M56" i="2"/>
  <c r="K207" i="1"/>
  <c r="F24" i="6" s="1"/>
  <c r="K190" i="1"/>
  <c r="K60" i="1"/>
  <c r="K58" i="1" s="1"/>
  <c r="M47" i="2"/>
  <c r="K157" i="1"/>
  <c r="K113" i="1"/>
  <c r="K24" i="1"/>
  <c r="K81" i="1"/>
  <c r="K195" i="1"/>
  <c r="K202" i="1"/>
  <c r="K201" i="1" s="1"/>
  <c r="K102" i="1"/>
  <c r="K9" i="1"/>
  <c r="F9" i="6" s="1"/>
  <c r="K121" i="1"/>
  <c r="K120" i="1" s="1"/>
  <c r="K129" i="1"/>
  <c r="K127" i="1" s="1"/>
  <c r="K163" i="1"/>
  <c r="K186" i="1"/>
  <c r="E40" i="5"/>
  <c r="K53" i="1"/>
  <c r="K52" i="1" s="1"/>
  <c r="K68" i="1"/>
  <c r="K67" i="1" s="1"/>
  <c r="K174" i="1"/>
  <c r="E21" i="5"/>
  <c r="K28" i="1"/>
  <c r="K110" i="1"/>
  <c r="K143" i="1"/>
  <c r="K154" i="1"/>
  <c r="K36" i="1"/>
  <c r="K35" i="1" s="1"/>
  <c r="K32" i="1" s="1"/>
  <c r="F16" i="6" s="1"/>
  <c r="K94" i="1"/>
  <c r="K91" i="1" s="1"/>
  <c r="K139" i="1"/>
  <c r="K168" i="1"/>
  <c r="K180" i="1"/>
  <c r="K133" i="1"/>
  <c r="K132" i="1" s="1"/>
  <c r="K148" i="1"/>
  <c r="E7" i="5"/>
  <c r="E30" i="5"/>
  <c r="K17" i="1"/>
  <c r="K16" i="1" s="1"/>
  <c r="K85" i="1"/>
  <c r="K84" i="1" s="1"/>
  <c r="K41" i="1"/>
  <c r="K40" i="1" s="1"/>
  <c r="I10" i="2"/>
  <c r="I8" i="2"/>
  <c r="I151" i="2"/>
  <c r="I149" i="2"/>
  <c r="I119" i="2"/>
  <c r="I97" i="2"/>
  <c r="I86" i="2"/>
  <c r="I72" i="2"/>
  <c r="I14" i="2"/>
  <c r="I26" i="2"/>
  <c r="I9" i="2" l="1"/>
  <c r="K107" i="1"/>
  <c r="K106" i="1" s="1"/>
  <c r="F20" i="6" s="1"/>
  <c r="K153" i="1"/>
  <c r="K142" i="1" s="1"/>
  <c r="F22" i="6" s="1"/>
  <c r="K23" i="1"/>
  <c r="K15" i="1" s="1"/>
  <c r="K173" i="1"/>
  <c r="K185" i="1"/>
  <c r="K64" i="1"/>
  <c r="F18" i="6" s="1"/>
  <c r="K126" i="1"/>
  <c r="F21" i="6" s="1"/>
  <c r="K80" i="1"/>
  <c r="F19" i="6" s="1"/>
  <c r="I6" i="2"/>
  <c r="K39" i="1"/>
  <c r="D60" i="1"/>
  <c r="D51" i="1"/>
  <c r="I65" i="5" l="1"/>
  <c r="K11" i="1"/>
  <c r="F11" i="6" s="1"/>
  <c r="F15" i="6"/>
  <c r="K10" i="1"/>
  <c r="F10" i="6" s="1"/>
  <c r="K172" i="1"/>
  <c r="F23" i="6" s="1"/>
  <c r="K8" i="1"/>
  <c r="F17" i="6"/>
  <c r="F8" i="6" l="1"/>
  <c r="K6" i="1"/>
  <c r="F6" i="6" s="1"/>
  <c r="S70" i="2"/>
  <c r="K93" i="2"/>
  <c r="M18" i="2"/>
  <c r="D110" i="1" l="1"/>
  <c r="K27" i="2" l="1"/>
  <c r="H120" i="2" l="1"/>
  <c r="H121" i="2"/>
  <c r="C37" i="5" l="1"/>
  <c r="R10" i="2" l="1"/>
  <c r="J37" i="5" l="1"/>
  <c r="H37" i="5"/>
  <c r="L37" i="5" l="1"/>
  <c r="C19" i="5"/>
  <c r="C75" i="5" s="1"/>
  <c r="F7" i="16" s="1"/>
  <c r="Q7" i="16" s="1"/>
  <c r="C17" i="5"/>
  <c r="C72" i="5"/>
  <c r="C15" i="5"/>
  <c r="C69" i="5"/>
  <c r="D11" i="16" s="1"/>
  <c r="C68" i="5"/>
  <c r="C67" i="5"/>
  <c r="C65" i="5"/>
  <c r="D14" i="16" s="1"/>
  <c r="F9" i="16" l="1"/>
  <c r="Q9" i="16" s="1"/>
  <c r="D9" i="16"/>
  <c r="F12" i="16"/>
  <c r="Q12" i="16" s="1"/>
  <c r="D12" i="16"/>
  <c r="F13" i="16"/>
  <c r="Q13" i="16" s="1"/>
  <c r="D13" i="16"/>
  <c r="C71" i="5"/>
  <c r="F6" i="16" s="1"/>
  <c r="Q6" i="16" s="1"/>
  <c r="C7" i="5"/>
  <c r="F11" i="16"/>
  <c r="Q11" i="16" s="1"/>
  <c r="F14" i="16"/>
  <c r="Q14" i="16" s="1"/>
  <c r="N14" i="16"/>
  <c r="D17" i="5"/>
  <c r="D73" i="5" s="1"/>
  <c r="C73" i="5"/>
  <c r="D5" i="16" s="1"/>
  <c r="I159" i="1"/>
  <c r="I158" i="1"/>
  <c r="I214" i="1"/>
  <c r="I213" i="1" s="1"/>
  <c r="I212" i="1"/>
  <c r="I211" i="1" s="1"/>
  <c r="I209" i="1"/>
  <c r="I208" i="1"/>
  <c r="I204" i="1"/>
  <c r="I203" i="1"/>
  <c r="I199" i="1"/>
  <c r="I198" i="1"/>
  <c r="I197" i="1"/>
  <c r="I196" i="1"/>
  <c r="I194" i="1"/>
  <c r="I192" i="1"/>
  <c r="I191" i="1"/>
  <c r="I189" i="1"/>
  <c r="I188" i="1"/>
  <c r="I187" i="1"/>
  <c r="I184" i="1"/>
  <c r="I183" i="1"/>
  <c r="I182" i="1"/>
  <c r="I181" i="1"/>
  <c r="I179" i="1"/>
  <c r="I178" i="1"/>
  <c r="I177" i="1"/>
  <c r="I176" i="1"/>
  <c r="I175" i="1"/>
  <c r="I171" i="1"/>
  <c r="I170" i="1"/>
  <c r="I169" i="1"/>
  <c r="I167" i="1"/>
  <c r="I166" i="1" s="1"/>
  <c r="I165" i="1"/>
  <c r="I164" i="1"/>
  <c r="I162" i="1"/>
  <c r="I161" i="1"/>
  <c r="I160" i="1"/>
  <c r="I156" i="1"/>
  <c r="I155" i="1"/>
  <c r="I152" i="1"/>
  <c r="I151" i="1"/>
  <c r="I150" i="1"/>
  <c r="I149" i="1"/>
  <c r="I147" i="1"/>
  <c r="I146" i="1"/>
  <c r="I145" i="1"/>
  <c r="I144" i="1"/>
  <c r="I141" i="1"/>
  <c r="I140" i="1"/>
  <c r="I138" i="1"/>
  <c r="I137" i="1"/>
  <c r="I136" i="1"/>
  <c r="I135" i="1"/>
  <c r="I134" i="1"/>
  <c r="I131" i="1"/>
  <c r="I130" i="1"/>
  <c r="I128" i="1"/>
  <c r="I125" i="1"/>
  <c r="I124" i="1" s="1"/>
  <c r="I123" i="1"/>
  <c r="I122" i="1"/>
  <c r="I116" i="1"/>
  <c r="I115" i="1"/>
  <c r="I114" i="1"/>
  <c r="I112" i="1"/>
  <c r="I111" i="1"/>
  <c r="I109" i="1"/>
  <c r="I108" i="1"/>
  <c r="I105" i="1"/>
  <c r="I104" i="1"/>
  <c r="I103" i="1"/>
  <c r="I101" i="1"/>
  <c r="I100" i="1" s="1"/>
  <c r="I98" i="1"/>
  <c r="I97" i="1" s="1"/>
  <c r="I96" i="1"/>
  <c r="I95" i="1"/>
  <c r="I93" i="1"/>
  <c r="I92" i="1" s="1"/>
  <c r="I90" i="1"/>
  <c r="I89" i="1" s="1"/>
  <c r="I88" i="1"/>
  <c r="I87" i="1"/>
  <c r="I86" i="1"/>
  <c r="I83" i="1"/>
  <c r="I82" i="1"/>
  <c r="I79" i="1"/>
  <c r="I78" i="1"/>
  <c r="I75" i="1"/>
  <c r="I74" i="1" s="1"/>
  <c r="I73" i="1"/>
  <c r="I72" i="1" s="1"/>
  <c r="I71" i="1"/>
  <c r="I70" i="1"/>
  <c r="I69" i="1"/>
  <c r="I66" i="1"/>
  <c r="I65" i="1" s="1"/>
  <c r="I62" i="1"/>
  <c r="I61" i="1"/>
  <c r="I59" i="1"/>
  <c r="I57" i="1"/>
  <c r="I56" i="1" s="1"/>
  <c r="I55" i="1"/>
  <c r="I54" i="1"/>
  <c r="I51" i="1"/>
  <c r="I50" i="1"/>
  <c r="I47" i="1"/>
  <c r="I46" i="1"/>
  <c r="I45" i="1"/>
  <c r="I44" i="1"/>
  <c r="I43" i="1"/>
  <c r="I42" i="1"/>
  <c r="I38" i="1"/>
  <c r="I37" i="1"/>
  <c r="I34" i="1"/>
  <c r="I33" i="1" s="1"/>
  <c r="I31" i="1"/>
  <c r="I30" i="1"/>
  <c r="I29" i="1"/>
  <c r="I26" i="1"/>
  <c r="I25" i="1"/>
  <c r="I22" i="1"/>
  <c r="I21" i="1"/>
  <c r="I20" i="1"/>
  <c r="I19" i="1"/>
  <c r="I18" i="1"/>
  <c r="I202" i="1" l="1"/>
  <c r="F5" i="16"/>
  <c r="Q5" i="16" s="1"/>
  <c r="N11" i="16"/>
  <c r="M11" i="16"/>
  <c r="K11" i="16"/>
  <c r="I11" i="16"/>
  <c r="I41" i="1"/>
  <c r="I77" i="1"/>
  <c r="I76" i="1" s="1"/>
  <c r="I207" i="1"/>
  <c r="I190" i="1"/>
  <c r="I60" i="1"/>
  <c r="I58" i="1" s="1"/>
  <c r="I102" i="1"/>
  <c r="I94" i="1"/>
  <c r="I91" i="1" s="1"/>
  <c r="I36" i="1"/>
  <c r="I35" i="1" s="1"/>
  <c r="I32" i="1" s="1"/>
  <c r="I81" i="1"/>
  <c r="I163" i="1"/>
  <c r="I154" i="1"/>
  <c r="I186" i="1"/>
  <c r="I139" i="1"/>
  <c r="I49" i="1"/>
  <c r="I113" i="1"/>
  <c r="I28" i="1"/>
  <c r="I143" i="1"/>
  <c r="I53" i="1"/>
  <c r="I52" i="1" s="1"/>
  <c r="I68" i="1"/>
  <c r="I67" i="1" s="1"/>
  <c r="I85" i="1"/>
  <c r="I84" i="1" s="1"/>
  <c r="I121" i="1"/>
  <c r="I120" i="1" s="1"/>
  <c r="I129" i="1"/>
  <c r="I127" i="1" s="1"/>
  <c r="I195" i="1"/>
  <c r="I24" i="1"/>
  <c r="I17" i="1"/>
  <c r="I16" i="1" s="1"/>
  <c r="I133" i="1"/>
  <c r="I132" i="1" s="1"/>
  <c r="I148" i="1"/>
  <c r="I168" i="1"/>
  <c r="I180" i="1"/>
  <c r="I110" i="1"/>
  <c r="I174" i="1"/>
  <c r="I157" i="1"/>
  <c r="I107" i="1" l="1"/>
  <c r="I106" i="1" s="1"/>
  <c r="L11" i="16"/>
  <c r="P11" i="16" s="1"/>
  <c r="K5" i="16"/>
  <c r="I5" i="16"/>
  <c r="N5" i="16"/>
  <c r="M5" i="16"/>
  <c r="I185" i="1"/>
  <c r="I64" i="1"/>
  <c r="I23" i="1"/>
  <c r="I15" i="1" s="1"/>
  <c r="I173" i="1"/>
  <c r="I153" i="1"/>
  <c r="I142" i="1" s="1"/>
  <c r="I126" i="1"/>
  <c r="I80" i="1"/>
  <c r="I40" i="1"/>
  <c r="I39" i="1" s="1"/>
  <c r="Z62" i="1"/>
  <c r="S62" i="1"/>
  <c r="V62" i="1" s="1"/>
  <c r="L5" i="16" l="1"/>
  <c r="P5" i="16" s="1"/>
  <c r="AD105" i="1"/>
  <c r="AD104" i="1"/>
  <c r="AD62" i="1"/>
  <c r="W105" i="1"/>
  <c r="W104" i="1"/>
  <c r="W62" i="1"/>
  <c r="P105" i="1"/>
  <c r="P104" i="1"/>
  <c r="P62" i="1"/>
  <c r="AG105" i="1" l="1"/>
  <c r="AG103" i="1"/>
  <c r="AG101" i="1"/>
  <c r="AG100" i="1" s="1"/>
  <c r="AJ100" i="1" s="1"/>
  <c r="AG98" i="1"/>
  <c r="AG93" i="1"/>
  <c r="AG92" i="1" s="1"/>
  <c r="AG90" i="1"/>
  <c r="AG89" i="1" s="1"/>
  <c r="AG86" i="1"/>
  <c r="AG83" i="1"/>
  <c r="AG62" i="1"/>
  <c r="J12" i="16"/>
  <c r="E105" i="1"/>
  <c r="E104" i="1"/>
  <c r="E103" i="1"/>
  <c r="E101" i="1"/>
  <c r="E96" i="1"/>
  <c r="E95" i="1"/>
  <c r="E93" i="1"/>
  <c r="E90" i="1"/>
  <c r="E88" i="1"/>
  <c r="E87" i="1"/>
  <c r="E86" i="1"/>
  <c r="E83" i="1"/>
  <c r="E82" i="1"/>
  <c r="AG104" i="1"/>
  <c r="AG96" i="1"/>
  <c r="AJ96" i="1" s="1"/>
  <c r="AG95" i="1"/>
  <c r="AG88" i="1"/>
  <c r="AG87" i="1"/>
  <c r="AG82" i="1"/>
  <c r="Z105" i="1"/>
  <c r="Z104" i="1"/>
  <c r="Z103" i="1"/>
  <c r="Z101" i="1"/>
  <c r="Z100" i="1" s="1"/>
  <c r="Z98" i="1"/>
  <c r="Z96" i="1"/>
  <c r="Z95" i="1"/>
  <c r="Z93" i="1"/>
  <c r="Z92" i="1" s="1"/>
  <c r="Z90" i="1"/>
  <c r="Z89" i="1" s="1"/>
  <c r="Z88" i="1"/>
  <c r="Z87" i="1"/>
  <c r="Z86" i="1"/>
  <c r="Z83" i="1"/>
  <c r="Z82" i="1"/>
  <c r="S105" i="1"/>
  <c r="V105" i="1" s="1"/>
  <c r="S104" i="1"/>
  <c r="V104" i="1" s="1"/>
  <c r="S103" i="1"/>
  <c r="V103" i="1" s="1"/>
  <c r="S101" i="1"/>
  <c r="S98" i="1"/>
  <c r="S96" i="1"/>
  <c r="V96" i="1" s="1"/>
  <c r="S95" i="1"/>
  <c r="V95" i="1" s="1"/>
  <c r="S93" i="1"/>
  <c r="S90" i="1"/>
  <c r="S88" i="1"/>
  <c r="V88" i="1" s="1"/>
  <c r="S87" i="1"/>
  <c r="V87" i="1" s="1"/>
  <c r="S86" i="1"/>
  <c r="V86" i="1" s="1"/>
  <c r="S83" i="1"/>
  <c r="S82" i="1"/>
  <c r="L105" i="1"/>
  <c r="L103" i="1"/>
  <c r="L101" i="1"/>
  <c r="L100" i="1" s="1"/>
  <c r="L98" i="1"/>
  <c r="L97" i="1" s="1"/>
  <c r="L96" i="1"/>
  <c r="L88" i="1"/>
  <c r="L87" i="1"/>
  <c r="L86" i="1"/>
  <c r="H105" i="1"/>
  <c r="H104" i="1"/>
  <c r="H103" i="1"/>
  <c r="H101" i="1"/>
  <c r="H98" i="1"/>
  <c r="H97" i="1" s="1"/>
  <c r="F97" i="1"/>
  <c r="V83" i="1" l="1"/>
  <c r="V82" i="1"/>
  <c r="M97" i="1"/>
  <c r="N97" i="1" s="1"/>
  <c r="O97" i="1"/>
  <c r="AC98" i="1"/>
  <c r="Z97" i="1"/>
  <c r="AJ98" i="1"/>
  <c r="AG97" i="1"/>
  <c r="V98" i="1"/>
  <c r="S97" i="1"/>
  <c r="I72" i="5"/>
  <c r="S89" i="1"/>
  <c r="V89" i="1" s="1"/>
  <c r="V90" i="1"/>
  <c r="S92" i="1"/>
  <c r="V93" i="1"/>
  <c r="S100" i="1"/>
  <c r="V100" i="1" s="1"/>
  <c r="V101" i="1"/>
  <c r="AH98" i="1"/>
  <c r="AI98" i="1" s="1"/>
  <c r="M98" i="1"/>
  <c r="N98" i="1" s="1"/>
  <c r="O98" i="1"/>
  <c r="T98" i="1"/>
  <c r="U98" i="1" s="1"/>
  <c r="AA98" i="1"/>
  <c r="AB98" i="1" s="1"/>
  <c r="H102" i="1"/>
  <c r="AG102" i="1"/>
  <c r="Z102" i="1"/>
  <c r="S102" i="1"/>
  <c r="V102" i="1" s="1"/>
  <c r="T105" i="1"/>
  <c r="U105" i="1" s="1"/>
  <c r="M105" i="1"/>
  <c r="N105" i="1" s="1"/>
  <c r="O105" i="1"/>
  <c r="S94" i="1"/>
  <c r="AA105" i="1"/>
  <c r="AB105" i="1" s="1"/>
  <c r="AC105" i="1"/>
  <c r="AJ105" i="1"/>
  <c r="AH105" i="1"/>
  <c r="AI105" i="1" s="1"/>
  <c r="Z94" i="1"/>
  <c r="S81" i="1"/>
  <c r="Z81" i="1"/>
  <c r="L85" i="1"/>
  <c r="L84" i="1" s="1"/>
  <c r="S85" i="1"/>
  <c r="Z85" i="1"/>
  <c r="Z84" i="1" s="1"/>
  <c r="AG94" i="1"/>
  <c r="AG81" i="1"/>
  <c r="AG85" i="1"/>
  <c r="AG84" i="1" s="1"/>
  <c r="H12" i="16"/>
  <c r="AH71" i="2"/>
  <c r="AA71" i="2"/>
  <c r="T71" i="2"/>
  <c r="M71" i="2"/>
  <c r="AF70" i="2"/>
  <c r="AG70" i="2" s="1"/>
  <c r="Y70" i="2"/>
  <c r="Z70" i="2" s="1"/>
  <c r="T70" i="2"/>
  <c r="H70" i="2"/>
  <c r="J104" i="1" s="1"/>
  <c r="AH66" i="2"/>
  <c r="AA66" i="2"/>
  <c r="S66" i="2"/>
  <c r="M66" i="2"/>
  <c r="J98" i="1"/>
  <c r="J97" i="1" s="1"/>
  <c r="V81" i="1" l="1"/>
  <c r="AG91" i="1"/>
  <c r="N12" i="16"/>
  <c r="K12" i="16"/>
  <c r="L12" i="16" s="1"/>
  <c r="Z91" i="1"/>
  <c r="M12" i="16"/>
  <c r="V97" i="1"/>
  <c r="T97" i="1"/>
  <c r="U97" i="1" s="1"/>
  <c r="AJ97" i="1"/>
  <c r="AH97" i="1"/>
  <c r="AI97" i="1" s="1"/>
  <c r="AC97" i="1"/>
  <c r="AA97" i="1"/>
  <c r="AB97" i="1" s="1"/>
  <c r="V92" i="1"/>
  <c r="S91" i="1"/>
  <c r="V91" i="1" s="1"/>
  <c r="I12" i="16"/>
  <c r="V94" i="1"/>
  <c r="S84" i="1"/>
  <c r="V84" i="1" s="1"/>
  <c r="V85" i="1"/>
  <c r="T102" i="1"/>
  <c r="U102" i="1" s="1"/>
  <c r="AA70" i="2"/>
  <c r="AH70" i="2"/>
  <c r="K66" i="2"/>
  <c r="Y66" i="2"/>
  <c r="Z66" i="2" s="1"/>
  <c r="T66" i="2"/>
  <c r="AF66" i="2"/>
  <c r="AG66" i="2" s="1"/>
  <c r="P12" i="16" l="1"/>
  <c r="U56" i="2"/>
  <c r="AG31" i="1" l="1"/>
  <c r="Z31" i="1" l="1"/>
  <c r="S31" i="1"/>
  <c r="V31" i="1" s="1"/>
  <c r="T44" i="2" l="1"/>
  <c r="T45" i="2"/>
  <c r="T42" i="2"/>
  <c r="T43" i="2"/>
  <c r="U86" i="2"/>
  <c r="J4" i="7"/>
  <c r="I4" i="7"/>
  <c r="H4" i="7"/>
  <c r="G4" i="7"/>
  <c r="F4" i="7"/>
  <c r="E4" i="7"/>
  <c r="D4" i="7"/>
  <c r="C4" i="7"/>
  <c r="H42" i="2" l="1"/>
  <c r="J57" i="1" s="1"/>
  <c r="J56" i="1" s="1"/>
  <c r="H43" i="2"/>
  <c r="H45" i="2"/>
  <c r="J62" i="1" l="1"/>
  <c r="J60" i="1" s="1"/>
  <c r="D26" i="5"/>
  <c r="J59" i="1"/>
  <c r="J58" i="1" l="1"/>
  <c r="AD61" i="1"/>
  <c r="AD60" i="1" s="1"/>
  <c r="W61" i="1"/>
  <c r="W60" i="1" s="1"/>
  <c r="AG61" i="1"/>
  <c r="Z61" i="1"/>
  <c r="AC62" i="1"/>
  <c r="AJ62" i="1"/>
  <c r="Y44" i="2"/>
  <c r="Z44" i="2" s="1"/>
  <c r="AA44" i="2"/>
  <c r="AH44" i="2"/>
  <c r="AC61" i="1" l="1"/>
  <c r="Z60" i="1"/>
  <c r="AJ61" i="1"/>
  <c r="AG60" i="1"/>
  <c r="AH61" i="1"/>
  <c r="AI61" i="1" s="1"/>
  <c r="AH62" i="1"/>
  <c r="AI62" i="1" s="1"/>
  <c r="AA61" i="1"/>
  <c r="AB61" i="1" s="1"/>
  <c r="AA62" i="1"/>
  <c r="AB62" i="1" s="1"/>
  <c r="AF44" i="2"/>
  <c r="AG44" i="2" s="1"/>
  <c r="S44" i="2" l="1"/>
  <c r="S61" i="1"/>
  <c r="P61" i="1"/>
  <c r="P60" i="1" s="1"/>
  <c r="S60" i="1" l="1"/>
  <c r="V60" i="1" s="1"/>
  <c r="V61" i="1"/>
  <c r="T62" i="1"/>
  <c r="U62" i="1" s="1"/>
  <c r="T61" i="1"/>
  <c r="U61" i="1" s="1"/>
  <c r="D137" i="1"/>
  <c r="D136" i="1"/>
  <c r="D135" i="1"/>
  <c r="D134" i="1"/>
  <c r="D107" i="1"/>
  <c r="D102" i="1"/>
  <c r="D100" i="1"/>
  <c r="D94" i="1"/>
  <c r="D92" i="1"/>
  <c r="D91" i="1"/>
  <c r="D89" i="1"/>
  <c r="D85" i="1"/>
  <c r="D84" i="1"/>
  <c r="D81" i="1"/>
  <c r="D77" i="1"/>
  <c r="D76" i="1"/>
  <c r="D74" i="1"/>
  <c r="D72" i="1"/>
  <c r="D68" i="1"/>
  <c r="D67" i="1"/>
  <c r="D65" i="1"/>
  <c r="D58" i="1"/>
  <c r="D56" i="1"/>
  <c r="D53" i="1"/>
  <c r="D52" i="1"/>
  <c r="D49" i="1"/>
  <c r="D45" i="1"/>
  <c r="D44" i="1"/>
  <c r="D43" i="1"/>
  <c r="D41" i="1"/>
  <c r="D40" i="1"/>
  <c r="D36" i="1"/>
  <c r="D35" i="1"/>
  <c r="D33" i="1"/>
  <c r="D31" i="1"/>
  <c r="D30" i="1"/>
  <c r="D29" i="1"/>
  <c r="D28" i="1"/>
  <c r="D27" i="1"/>
  <c r="D26" i="1"/>
  <c r="D25" i="1"/>
  <c r="D24" i="1"/>
  <c r="D23" i="1"/>
  <c r="D17" i="1"/>
  <c r="D16" i="1"/>
  <c r="D42" i="1"/>
  <c r="D80" i="1"/>
  <c r="H49" i="2" l="1"/>
  <c r="J69" i="1" s="1"/>
  <c r="AG212" i="1" l="1"/>
  <c r="Y45" i="2" l="1"/>
  <c r="Y43" i="2"/>
  <c r="S45" i="2"/>
  <c r="S43" i="2"/>
  <c r="C42" i="5" l="1"/>
  <c r="B42" i="5"/>
  <c r="C41" i="5"/>
  <c r="B41" i="5"/>
  <c r="C39" i="5"/>
  <c r="B39" i="5"/>
  <c r="B38" i="5"/>
  <c r="C34" i="5"/>
  <c r="B34" i="5"/>
  <c r="C32" i="5"/>
  <c r="B32" i="5"/>
  <c r="C31" i="5"/>
  <c r="L29" i="5"/>
  <c r="J29" i="5"/>
  <c r="J28" i="5" s="1"/>
  <c r="H29" i="5"/>
  <c r="H28" i="5" s="1"/>
  <c r="F29" i="5"/>
  <c r="F28" i="5" s="1"/>
  <c r="C29" i="5"/>
  <c r="C28" i="5" s="1"/>
  <c r="B29" i="5"/>
  <c r="B28" i="5" s="1"/>
  <c r="C26" i="5"/>
  <c r="J25" i="5"/>
  <c r="C25" i="5"/>
  <c r="B25" i="5"/>
  <c r="C24" i="5"/>
  <c r="C23" i="5"/>
  <c r="B19" i="5"/>
  <c r="B75" i="5" s="1"/>
  <c r="D7" i="16" s="1"/>
  <c r="B15" i="5"/>
  <c r="AH152" i="2"/>
  <c r="AA152" i="2"/>
  <c r="Y152" i="2"/>
  <c r="Z152" i="2" s="1"/>
  <c r="J42" i="5"/>
  <c r="U151" i="2"/>
  <c r="S152" i="2"/>
  <c r="H152" i="2"/>
  <c r="H151" i="2" s="1"/>
  <c r="AB151" i="2"/>
  <c r="G151" i="2"/>
  <c r="AL151" i="2" s="1"/>
  <c r="AH150" i="2"/>
  <c r="AF150" i="2"/>
  <c r="AG150" i="2" s="1"/>
  <c r="L32" i="5"/>
  <c r="T150" i="2"/>
  <c r="N149" i="2"/>
  <c r="H150" i="2"/>
  <c r="AB149" i="2"/>
  <c r="U149" i="2"/>
  <c r="T149" i="2"/>
  <c r="G149" i="2"/>
  <c r="AL149" i="2" s="1"/>
  <c r="AH147" i="2"/>
  <c r="AF147" i="2"/>
  <c r="AG147" i="2" s="1"/>
  <c r="Y147" i="2"/>
  <c r="Z147" i="2" s="1"/>
  <c r="AA147" i="2"/>
  <c r="T147" i="2"/>
  <c r="S147" i="2"/>
  <c r="P209" i="1"/>
  <c r="J209" i="1"/>
  <c r="T146" i="2"/>
  <c r="S146" i="2"/>
  <c r="AH144" i="2"/>
  <c r="AA144" i="2"/>
  <c r="Y144" i="2"/>
  <c r="Z144" i="2" s="1"/>
  <c r="J38" i="5"/>
  <c r="S144" i="2"/>
  <c r="F38" i="5"/>
  <c r="AF142" i="2"/>
  <c r="AG142" i="2" s="1"/>
  <c r="AA142" i="2"/>
  <c r="Y142" i="2"/>
  <c r="Z142" i="2" s="1"/>
  <c r="W204" i="1"/>
  <c r="P204" i="1"/>
  <c r="J204" i="1"/>
  <c r="AD203" i="1"/>
  <c r="Y141" i="2"/>
  <c r="Z141" i="2" s="1"/>
  <c r="P203" i="1"/>
  <c r="M141" i="2"/>
  <c r="J203" i="1"/>
  <c r="AH139" i="2"/>
  <c r="AF139" i="2"/>
  <c r="AG139" i="2" s="1"/>
  <c r="AA139" i="2"/>
  <c r="Y139" i="2"/>
  <c r="Z139" i="2" s="1"/>
  <c r="S139" i="2"/>
  <c r="T139" i="2"/>
  <c r="P199" i="1"/>
  <c r="K139" i="2"/>
  <c r="H139" i="2"/>
  <c r="AH138" i="2"/>
  <c r="AF138" i="2"/>
  <c r="AG138" i="2" s="1"/>
  <c r="AA138" i="2"/>
  <c r="Y138" i="2"/>
  <c r="Z138" i="2" s="1"/>
  <c r="S138" i="2"/>
  <c r="T138" i="2"/>
  <c r="P198" i="1"/>
  <c r="H138" i="2"/>
  <c r="AH137" i="2"/>
  <c r="AF137" i="2"/>
  <c r="AG137" i="2" s="1"/>
  <c r="AD197" i="1"/>
  <c r="AA137" i="2"/>
  <c r="Y137" i="2"/>
  <c r="Z137" i="2" s="1"/>
  <c r="P197" i="1"/>
  <c r="H137" i="2"/>
  <c r="J197" i="1" s="1"/>
  <c r="AD196" i="1"/>
  <c r="Y136" i="2"/>
  <c r="Z136" i="2" s="1"/>
  <c r="AA136" i="2"/>
  <c r="P196" i="1"/>
  <c r="H136" i="2"/>
  <c r="J196" i="1" s="1"/>
  <c r="AH135" i="2"/>
  <c r="AF135" i="2"/>
  <c r="AG135" i="2" s="1"/>
  <c r="AA135" i="2"/>
  <c r="Y135" i="2"/>
  <c r="Z135" i="2" s="1"/>
  <c r="S135" i="2"/>
  <c r="T135" i="2"/>
  <c r="H135" i="2"/>
  <c r="J194" i="1" s="1"/>
  <c r="AH133" i="2"/>
  <c r="AF133" i="2"/>
  <c r="AG133" i="2" s="1"/>
  <c r="AD192" i="1"/>
  <c r="AA133" i="2"/>
  <c r="Y133" i="2"/>
  <c r="Z133" i="2" s="1"/>
  <c r="S133" i="2"/>
  <c r="T133" i="2"/>
  <c r="P192" i="1"/>
  <c r="J192" i="1"/>
  <c r="AD191" i="1"/>
  <c r="AA132" i="2"/>
  <c r="Y132" i="2"/>
  <c r="Z132" i="2" s="1"/>
  <c r="P191" i="1"/>
  <c r="J191" i="1"/>
  <c r="AD189" i="1"/>
  <c r="S131" i="2"/>
  <c r="T131" i="2"/>
  <c r="P189" i="1"/>
  <c r="H131" i="2"/>
  <c r="J189" i="1" s="1"/>
  <c r="Y130" i="2"/>
  <c r="Z130" i="2" s="1"/>
  <c r="P188" i="1"/>
  <c r="J188" i="1"/>
  <c r="AH129" i="2"/>
  <c r="AF129" i="2"/>
  <c r="AG129" i="2" s="1"/>
  <c r="AA129" i="2"/>
  <c r="Y129" i="2"/>
  <c r="Z129" i="2" s="1"/>
  <c r="S129" i="2"/>
  <c r="T129" i="2"/>
  <c r="H129" i="2"/>
  <c r="J187" i="1" s="1"/>
  <c r="AF128" i="2"/>
  <c r="AG128" i="2" s="1"/>
  <c r="J184" i="1"/>
  <c r="W183" i="1"/>
  <c r="H127" i="2"/>
  <c r="J183" i="1" s="1"/>
  <c r="T126" i="2"/>
  <c r="P182" i="1"/>
  <c r="J182" i="1"/>
  <c r="AH125" i="2"/>
  <c r="AF125" i="2"/>
  <c r="AG125" i="2" s="1"/>
  <c r="AA125" i="2"/>
  <c r="Y125" i="2"/>
  <c r="Z125" i="2" s="1"/>
  <c r="S125" i="2"/>
  <c r="T125" i="2"/>
  <c r="H125" i="2"/>
  <c r="J181" i="1" s="1"/>
  <c r="W179" i="1"/>
  <c r="P179" i="1"/>
  <c r="H124" i="2"/>
  <c r="J179" i="1" s="1"/>
  <c r="AD178" i="1"/>
  <c r="S123" i="2"/>
  <c r="T123" i="2"/>
  <c r="P178" i="1"/>
  <c r="H123" i="2"/>
  <c r="J178" i="1" s="1"/>
  <c r="AH122" i="2"/>
  <c r="AF122" i="2"/>
  <c r="AG122" i="2" s="1"/>
  <c r="AA122" i="2"/>
  <c r="Z177" i="1"/>
  <c r="AC177" i="1" s="1"/>
  <c r="T122" i="2"/>
  <c r="P177" i="1"/>
  <c r="J177" i="1"/>
  <c r="AH121" i="2"/>
  <c r="AF121" i="2"/>
  <c r="AG121" i="2" s="1"/>
  <c r="AD176" i="1"/>
  <c r="AA121" i="2"/>
  <c r="Y121" i="2"/>
  <c r="Z121" i="2" s="1"/>
  <c r="W176" i="1"/>
  <c r="S121" i="2"/>
  <c r="T121" i="2"/>
  <c r="P176" i="1"/>
  <c r="J176" i="1"/>
  <c r="AH120" i="2"/>
  <c r="AF120" i="2"/>
  <c r="AG120" i="2" s="1"/>
  <c r="P175" i="1"/>
  <c r="J175" i="1"/>
  <c r="AH118" i="2"/>
  <c r="AF118" i="2"/>
  <c r="AG118" i="2" s="1"/>
  <c r="T118" i="2"/>
  <c r="S118" i="2"/>
  <c r="P171" i="1"/>
  <c r="H118" i="2"/>
  <c r="J171" i="1" s="1"/>
  <c r="AH117" i="2"/>
  <c r="AF117" i="2"/>
  <c r="AG117" i="2" s="1"/>
  <c r="P170" i="1"/>
  <c r="H117" i="2"/>
  <c r="J170" i="1" s="1"/>
  <c r="AH116" i="2"/>
  <c r="AF116" i="2"/>
  <c r="AG116" i="2" s="1"/>
  <c r="S116" i="2"/>
  <c r="P169" i="1"/>
  <c r="H116" i="2"/>
  <c r="J169" i="1" s="1"/>
  <c r="AH115" i="2"/>
  <c r="AF115" i="2"/>
  <c r="AG115" i="2" s="1"/>
  <c r="AD167" i="1"/>
  <c r="AD166" i="1" s="1"/>
  <c r="AA115" i="2"/>
  <c r="Y115" i="2"/>
  <c r="Z115" i="2" s="1"/>
  <c r="T115" i="2"/>
  <c r="S115" i="2"/>
  <c r="H115" i="2"/>
  <c r="J167" i="1" s="1"/>
  <c r="J166" i="1" s="1"/>
  <c r="AH114" i="2"/>
  <c r="AF114" i="2"/>
  <c r="AG114" i="2" s="1"/>
  <c r="P165" i="1"/>
  <c r="L165" i="1"/>
  <c r="H114" i="2"/>
  <c r="J165" i="1" s="1"/>
  <c r="AH113" i="2"/>
  <c r="AF113" i="2"/>
  <c r="AG113" i="2" s="1"/>
  <c r="AD164" i="1"/>
  <c r="P164" i="1"/>
  <c r="H113" i="2"/>
  <c r="J164" i="1" s="1"/>
  <c r="AH112" i="2"/>
  <c r="AF112" i="2"/>
  <c r="AG112" i="2" s="1"/>
  <c r="H112" i="2"/>
  <c r="J162" i="1" s="1"/>
  <c r="AH111" i="2"/>
  <c r="AF111" i="2"/>
  <c r="AG111" i="2" s="1"/>
  <c r="AA111" i="2"/>
  <c r="Y111" i="2"/>
  <c r="Z111" i="2" s="1"/>
  <c r="T111" i="2"/>
  <c r="S111" i="2"/>
  <c r="H111" i="2"/>
  <c r="J161" i="1" s="1"/>
  <c r="AH110" i="2"/>
  <c r="AF110" i="2"/>
  <c r="AG110" i="2" s="1"/>
  <c r="S110" i="2"/>
  <c r="P160" i="1"/>
  <c r="H110" i="2"/>
  <c r="J160" i="1" s="1"/>
  <c r="AH109" i="2"/>
  <c r="W159" i="1"/>
  <c r="T109" i="2"/>
  <c r="P159" i="1"/>
  <c r="R109" i="2"/>
  <c r="AH108" i="2"/>
  <c r="AA108" i="2"/>
  <c r="Y108" i="2"/>
  <c r="Z108" i="2" s="1"/>
  <c r="T108" i="2"/>
  <c r="P158" i="1"/>
  <c r="H108" i="2"/>
  <c r="J158" i="1" s="1"/>
  <c r="AH107" i="2"/>
  <c r="AA107" i="2"/>
  <c r="W156" i="1"/>
  <c r="T107" i="2"/>
  <c r="P156" i="1"/>
  <c r="AB97" i="2"/>
  <c r="Y106" i="2"/>
  <c r="Z106" i="2" s="1"/>
  <c r="AA106" i="2"/>
  <c r="T106" i="2"/>
  <c r="S106" i="2"/>
  <c r="P155" i="1"/>
  <c r="H106" i="2"/>
  <c r="J155" i="1" s="1"/>
  <c r="AH105" i="2"/>
  <c r="AF105" i="2"/>
  <c r="AG105" i="2" s="1"/>
  <c r="AD152" i="1"/>
  <c r="Y105" i="2"/>
  <c r="Z105" i="2" s="1"/>
  <c r="AA105" i="2"/>
  <c r="T105" i="2"/>
  <c r="S105" i="2"/>
  <c r="P152" i="1"/>
  <c r="H105" i="2"/>
  <c r="J152" i="1" s="1"/>
  <c r="T104" i="2"/>
  <c r="S104" i="2"/>
  <c r="P151" i="1"/>
  <c r="J151" i="1"/>
  <c r="AF103" i="2"/>
  <c r="AG103" i="2" s="1"/>
  <c r="AH103" i="2"/>
  <c r="T103" i="2"/>
  <c r="S103" i="2"/>
  <c r="P150" i="1"/>
  <c r="L150" i="1"/>
  <c r="H103" i="2"/>
  <c r="J150" i="1" s="1"/>
  <c r="AF102" i="2"/>
  <c r="AG102" i="2" s="1"/>
  <c r="AH102" i="2"/>
  <c r="Y102" i="2"/>
  <c r="Z102" i="2" s="1"/>
  <c r="AA102" i="2"/>
  <c r="T102" i="2"/>
  <c r="S102" i="2"/>
  <c r="P149" i="1"/>
  <c r="M102" i="2"/>
  <c r="H102" i="2"/>
  <c r="J149" i="1" s="1"/>
  <c r="AH101" i="2"/>
  <c r="AF101" i="2"/>
  <c r="AG101" i="2" s="1"/>
  <c r="Y101" i="2"/>
  <c r="Z101" i="2" s="1"/>
  <c r="AA101" i="2"/>
  <c r="T101" i="2"/>
  <c r="S101" i="2"/>
  <c r="P147" i="1"/>
  <c r="K101" i="2"/>
  <c r="H101" i="2"/>
  <c r="J147" i="1" s="1"/>
  <c r="AH100" i="2"/>
  <c r="W146" i="1"/>
  <c r="T100" i="2"/>
  <c r="S100" i="2"/>
  <c r="H100" i="2"/>
  <c r="AH99" i="2"/>
  <c r="AF99" i="2"/>
  <c r="AG99" i="2" s="1"/>
  <c r="U97" i="2"/>
  <c r="T99" i="2"/>
  <c r="P145" i="1"/>
  <c r="H99" i="2"/>
  <c r="AH98" i="2"/>
  <c r="AF98" i="2"/>
  <c r="AG98" i="2" s="1"/>
  <c r="AA98" i="2"/>
  <c r="T98" i="2"/>
  <c r="J144" i="1"/>
  <c r="G97" i="2"/>
  <c r="AL97" i="2" s="1"/>
  <c r="AA96" i="2"/>
  <c r="Y96" i="2"/>
  <c r="Z96" i="2" s="1"/>
  <c r="P141" i="1"/>
  <c r="H96" i="2"/>
  <c r="J141" i="1" s="1"/>
  <c r="AF95" i="2"/>
  <c r="AG95" i="2" s="1"/>
  <c r="AH95" i="2"/>
  <c r="AA95" i="2"/>
  <c r="Y95" i="2"/>
  <c r="Z95" i="2" s="1"/>
  <c r="T95" i="2"/>
  <c r="S95" i="2"/>
  <c r="H95" i="2"/>
  <c r="J140" i="1" s="1"/>
  <c r="AH94" i="2"/>
  <c r="AA94" i="2"/>
  <c r="W138" i="1"/>
  <c r="T94" i="2"/>
  <c r="P138" i="1"/>
  <c r="H94" i="2"/>
  <c r="J138" i="1" s="1"/>
  <c r="AH93" i="2"/>
  <c r="AF93" i="2"/>
  <c r="AG93" i="2" s="1"/>
  <c r="AD137" i="1"/>
  <c r="AA93" i="2"/>
  <c r="Y93" i="2"/>
  <c r="Z93" i="2" s="1"/>
  <c r="W137" i="1"/>
  <c r="T93" i="2"/>
  <c r="S93" i="2"/>
  <c r="P137" i="1"/>
  <c r="M93" i="2"/>
  <c r="H93" i="2"/>
  <c r="H8" i="2" s="1"/>
  <c r="AA92" i="2"/>
  <c r="Y92" i="2"/>
  <c r="Z92" i="2" s="1"/>
  <c r="P136" i="1"/>
  <c r="H92" i="2"/>
  <c r="AH91" i="2"/>
  <c r="AF91" i="2"/>
  <c r="AG91" i="2" s="1"/>
  <c r="AD135" i="1"/>
  <c r="AA91" i="2"/>
  <c r="Y91" i="2"/>
  <c r="Z91" i="2" s="1"/>
  <c r="T91" i="2"/>
  <c r="S91" i="2"/>
  <c r="M91" i="2"/>
  <c r="K91" i="2"/>
  <c r="J135" i="1"/>
  <c r="AA90" i="2"/>
  <c r="Y90" i="2"/>
  <c r="Z90" i="2" s="1"/>
  <c r="P134" i="1"/>
  <c r="H90" i="2"/>
  <c r="J134" i="1" s="1"/>
  <c r="AH89" i="2"/>
  <c r="AA89" i="2"/>
  <c r="Y89" i="2"/>
  <c r="Z89" i="2" s="1"/>
  <c r="P131" i="1"/>
  <c r="H89" i="2"/>
  <c r="J131" i="1" s="1"/>
  <c r="AA88" i="2"/>
  <c r="Y88" i="2"/>
  <c r="Z88" i="2" s="1"/>
  <c r="T88" i="2"/>
  <c r="S88" i="2"/>
  <c r="P130" i="1"/>
  <c r="H88" i="2"/>
  <c r="J130" i="1" s="1"/>
  <c r="AF87" i="2"/>
  <c r="AG87" i="2" s="1"/>
  <c r="AA87" i="2"/>
  <c r="Y87" i="2"/>
  <c r="Z87" i="2" s="1"/>
  <c r="W128" i="1"/>
  <c r="P128" i="1"/>
  <c r="H87" i="2"/>
  <c r="G86" i="2"/>
  <c r="AL86" i="2" s="1"/>
  <c r="AH85" i="2"/>
  <c r="AF85" i="2"/>
  <c r="AG85" i="2" s="1"/>
  <c r="AD125" i="1"/>
  <c r="AD124" i="1" s="1"/>
  <c r="Y85" i="2"/>
  <c r="Z85" i="2" s="1"/>
  <c r="AA85" i="2"/>
  <c r="T85" i="2"/>
  <c r="S85" i="2"/>
  <c r="P125" i="1"/>
  <c r="P124" i="1" s="1"/>
  <c r="H85" i="2"/>
  <c r="J125" i="1" s="1"/>
  <c r="J124" i="1" s="1"/>
  <c r="AH84" i="2"/>
  <c r="AF84" i="2"/>
  <c r="AG84" i="2" s="1"/>
  <c r="AD123" i="1"/>
  <c r="T84" i="2"/>
  <c r="S84" i="2"/>
  <c r="P123" i="1"/>
  <c r="H84" i="2"/>
  <c r="J123" i="1" s="1"/>
  <c r="AH83" i="2"/>
  <c r="Z83" i="2"/>
  <c r="AA83" i="2"/>
  <c r="T83" i="2"/>
  <c r="S83" i="2"/>
  <c r="P122" i="1"/>
  <c r="M83" i="2"/>
  <c r="H83" i="2"/>
  <c r="J122" i="1" s="1"/>
  <c r="AH79" i="2"/>
  <c r="AF79" i="2"/>
  <c r="AG79" i="2" s="1"/>
  <c r="AA79" i="2"/>
  <c r="T79" i="2"/>
  <c r="S79" i="2"/>
  <c r="P116" i="1"/>
  <c r="H79" i="2"/>
  <c r="J116" i="1" s="1"/>
  <c r="AH78" i="2"/>
  <c r="AF78" i="2"/>
  <c r="AG78" i="2" s="1"/>
  <c r="AD115" i="1"/>
  <c r="Y78" i="2"/>
  <c r="Z78" i="2" s="1"/>
  <c r="AA78" i="2"/>
  <c r="T78" i="2"/>
  <c r="S78" i="2"/>
  <c r="P115" i="1"/>
  <c r="H78" i="2"/>
  <c r="J115" i="1" s="1"/>
  <c r="AF77" i="2"/>
  <c r="AG77" i="2" s="1"/>
  <c r="AD114" i="1"/>
  <c r="T77" i="2"/>
  <c r="S77" i="2"/>
  <c r="P114" i="1"/>
  <c r="H77" i="2"/>
  <c r="J114" i="1" s="1"/>
  <c r="AA76" i="2"/>
  <c r="T76" i="2"/>
  <c r="S76" i="2"/>
  <c r="P112" i="1"/>
  <c r="H76" i="2"/>
  <c r="J112" i="1" s="1"/>
  <c r="T75" i="2"/>
  <c r="S75" i="2"/>
  <c r="P111" i="1"/>
  <c r="H75" i="2"/>
  <c r="J111" i="1" s="1"/>
  <c r="AH74" i="2"/>
  <c r="AF74" i="2"/>
  <c r="AG74" i="2" s="1"/>
  <c r="Y74" i="2"/>
  <c r="Z74" i="2" s="1"/>
  <c r="AA74" i="2"/>
  <c r="T74" i="2"/>
  <c r="S74" i="2"/>
  <c r="P109" i="1"/>
  <c r="H74" i="2"/>
  <c r="J109" i="1" s="1"/>
  <c r="T73" i="2"/>
  <c r="S73" i="2"/>
  <c r="L108" i="1"/>
  <c r="H73" i="2"/>
  <c r="J108" i="1" s="1"/>
  <c r="U72" i="2"/>
  <c r="R72" i="2"/>
  <c r="W103" i="1"/>
  <c r="W102" i="1" s="1"/>
  <c r="K69" i="2"/>
  <c r="H69" i="2"/>
  <c r="J103" i="1" s="1"/>
  <c r="H68" i="2"/>
  <c r="S65" i="2"/>
  <c r="T65" i="2"/>
  <c r="H65" i="2"/>
  <c r="J96" i="1" s="1"/>
  <c r="AH64" i="2"/>
  <c r="AF64" i="2"/>
  <c r="AG64" i="2" s="1"/>
  <c r="AA64" i="2"/>
  <c r="Y64" i="2"/>
  <c r="Z64" i="2" s="1"/>
  <c r="S64" i="2"/>
  <c r="T64" i="2"/>
  <c r="H64" i="2"/>
  <c r="J95" i="1" s="1"/>
  <c r="Y63" i="2"/>
  <c r="Z63" i="2" s="1"/>
  <c r="AA63" i="2"/>
  <c r="W93" i="1"/>
  <c r="P93" i="1"/>
  <c r="H63" i="2"/>
  <c r="J93" i="1" s="1"/>
  <c r="J92" i="1" s="1"/>
  <c r="AH62" i="2"/>
  <c r="AF62" i="2"/>
  <c r="AG62" i="2" s="1"/>
  <c r="AA62" i="2"/>
  <c r="Y62" i="2"/>
  <c r="Z62" i="2" s="1"/>
  <c r="S62" i="2"/>
  <c r="T62" i="2"/>
  <c r="P90" i="1"/>
  <c r="P89" i="1" s="1"/>
  <c r="H62" i="2"/>
  <c r="J90" i="1" s="1"/>
  <c r="J89" i="1" s="1"/>
  <c r="AH61" i="2"/>
  <c r="AF61" i="2"/>
  <c r="AG61" i="2" s="1"/>
  <c r="AA61" i="2"/>
  <c r="Y61" i="2"/>
  <c r="Z61" i="2" s="1"/>
  <c r="W88" i="1"/>
  <c r="S61" i="2"/>
  <c r="T61" i="2"/>
  <c r="P88" i="1"/>
  <c r="M61" i="2"/>
  <c r="H61" i="2"/>
  <c r="J88" i="1" s="1"/>
  <c r="AF60" i="2"/>
  <c r="AG60" i="2" s="1"/>
  <c r="AA60" i="2"/>
  <c r="Y60" i="2"/>
  <c r="Z60" i="2" s="1"/>
  <c r="W87" i="1"/>
  <c r="H60" i="2"/>
  <c r="W86" i="1"/>
  <c r="S59" i="2"/>
  <c r="P86" i="1"/>
  <c r="H59" i="2"/>
  <c r="AH58" i="2"/>
  <c r="AA58" i="2"/>
  <c r="P83" i="1"/>
  <c r="H58" i="2"/>
  <c r="AH57" i="2"/>
  <c r="AF57" i="2"/>
  <c r="AG57" i="2" s="1"/>
  <c r="AB56" i="2"/>
  <c r="AA57" i="2"/>
  <c r="S57" i="2"/>
  <c r="P82" i="1"/>
  <c r="H57" i="2"/>
  <c r="AH55" i="2"/>
  <c r="AF55" i="2"/>
  <c r="AG55" i="2" s="1"/>
  <c r="AD79" i="1"/>
  <c r="AA55" i="2"/>
  <c r="Y55" i="2"/>
  <c r="Z55" i="2" s="1"/>
  <c r="W79" i="1"/>
  <c r="T55" i="2"/>
  <c r="S55" i="2"/>
  <c r="P79" i="1"/>
  <c r="J79" i="1"/>
  <c r="AH54" i="2"/>
  <c r="AF54" i="2"/>
  <c r="AG54" i="2" s="1"/>
  <c r="AH53" i="2"/>
  <c r="AF53" i="2"/>
  <c r="AG53" i="2" s="1"/>
  <c r="P75" i="1"/>
  <c r="P74" i="1" s="1"/>
  <c r="J75" i="1"/>
  <c r="J74" i="1" s="1"/>
  <c r="AH52" i="2"/>
  <c r="AF52" i="2"/>
  <c r="AG52" i="2" s="1"/>
  <c r="P73" i="1"/>
  <c r="P72" i="1" s="1"/>
  <c r="L73" i="1"/>
  <c r="J73" i="1"/>
  <c r="J72" i="1" s="1"/>
  <c r="AH51" i="2"/>
  <c r="AF51" i="2"/>
  <c r="AG51" i="2" s="1"/>
  <c r="AA51" i="2"/>
  <c r="Y51" i="2"/>
  <c r="Z51" i="2" s="1"/>
  <c r="T51" i="2"/>
  <c r="S51" i="2"/>
  <c r="J71" i="1"/>
  <c r="AH50" i="2"/>
  <c r="AF50" i="2"/>
  <c r="AG50" i="2" s="1"/>
  <c r="AA50" i="2"/>
  <c r="Y50" i="2"/>
  <c r="Z50" i="2" s="1"/>
  <c r="P70" i="1"/>
  <c r="H50" i="2"/>
  <c r="J70" i="1" s="1"/>
  <c r="J68" i="1" s="1"/>
  <c r="AH49" i="2"/>
  <c r="AF49" i="2"/>
  <c r="AG49" i="2" s="1"/>
  <c r="T49" i="2"/>
  <c r="P69" i="1"/>
  <c r="AH48" i="2"/>
  <c r="AF48" i="2"/>
  <c r="AG48" i="2" s="1"/>
  <c r="L41" i="5"/>
  <c r="P66" i="1"/>
  <c r="P65" i="1" s="1"/>
  <c r="H48" i="2"/>
  <c r="Z45" i="2"/>
  <c r="AF43" i="2"/>
  <c r="AG43" i="2" s="1"/>
  <c r="AH43" i="2"/>
  <c r="AA43" i="2"/>
  <c r="Z43" i="2"/>
  <c r="P59" i="1"/>
  <c r="AF42" i="2"/>
  <c r="AG42" i="2" s="1"/>
  <c r="AH42" i="2"/>
  <c r="AA42" i="2"/>
  <c r="Y42" i="2"/>
  <c r="Z42" i="2" s="1"/>
  <c r="W57" i="1"/>
  <c r="W56" i="1" s="1"/>
  <c r="S42" i="2"/>
  <c r="P57" i="1"/>
  <c r="P56" i="1" s="1"/>
  <c r="AF41" i="2"/>
  <c r="AG41" i="2" s="1"/>
  <c r="AH41" i="2"/>
  <c r="AA41" i="2"/>
  <c r="Y41" i="2"/>
  <c r="Z41" i="2" s="1"/>
  <c r="S41" i="2"/>
  <c r="H41" i="2"/>
  <c r="J55" i="1" s="1"/>
  <c r="AA40" i="2"/>
  <c r="Y40" i="2"/>
  <c r="Z40" i="2" s="1"/>
  <c r="H40" i="2"/>
  <c r="J54" i="1" s="1"/>
  <c r="H39" i="2"/>
  <c r="P50" i="1"/>
  <c r="H38" i="2"/>
  <c r="AF36" i="2"/>
  <c r="AG36" i="2" s="1"/>
  <c r="AH36" i="2"/>
  <c r="AA36" i="2"/>
  <c r="Y36" i="2"/>
  <c r="Z36" i="2" s="1"/>
  <c r="P47" i="1"/>
  <c r="H36" i="2"/>
  <c r="J47" i="1" s="1"/>
  <c r="AA35" i="2"/>
  <c r="Y35" i="2"/>
  <c r="Z35" i="2" s="1"/>
  <c r="W46" i="1"/>
  <c r="P46" i="1"/>
  <c r="H35" i="2"/>
  <c r="J46" i="1" s="1"/>
  <c r="P45" i="1"/>
  <c r="H34" i="2"/>
  <c r="S44" i="1"/>
  <c r="H33" i="2"/>
  <c r="J44" i="1" s="1"/>
  <c r="W43" i="1"/>
  <c r="P43" i="1"/>
  <c r="H32" i="2"/>
  <c r="P42" i="1"/>
  <c r="H31" i="2"/>
  <c r="S29" i="2"/>
  <c r="P38" i="1"/>
  <c r="L38" i="1"/>
  <c r="O38" i="1" s="1"/>
  <c r="H29" i="2"/>
  <c r="J38" i="1" s="1"/>
  <c r="AF28" i="2"/>
  <c r="AG28" i="2" s="1"/>
  <c r="AD37" i="1"/>
  <c r="Y28" i="2"/>
  <c r="Z28" i="2" s="1"/>
  <c r="S37" i="1"/>
  <c r="V37" i="1" s="1"/>
  <c r="P37" i="1"/>
  <c r="H28" i="2"/>
  <c r="AH27" i="2"/>
  <c r="AF27" i="2"/>
  <c r="AG27" i="2" s="1"/>
  <c r="Y27" i="2"/>
  <c r="Z27" i="2" s="1"/>
  <c r="S34" i="1"/>
  <c r="S33" i="1" s="1"/>
  <c r="H27" i="2"/>
  <c r="J34" i="1" s="1"/>
  <c r="J33" i="1" s="1"/>
  <c r="U26" i="2"/>
  <c r="G26" i="2"/>
  <c r="T25" i="2"/>
  <c r="P31" i="1"/>
  <c r="H25" i="2"/>
  <c r="J31" i="1" s="1"/>
  <c r="H24" i="2"/>
  <c r="J30" i="1" s="1"/>
  <c r="AH23" i="2"/>
  <c r="AF23" i="2"/>
  <c r="AG23" i="2" s="1"/>
  <c r="AA23" i="2"/>
  <c r="Y23" i="2"/>
  <c r="Z23" i="2" s="1"/>
  <c r="T23" i="2"/>
  <c r="P29" i="1"/>
  <c r="H23" i="2"/>
  <c r="J29" i="1" s="1"/>
  <c r="AH22" i="2"/>
  <c r="AF22" i="2"/>
  <c r="AG22" i="2" s="1"/>
  <c r="W27" i="1"/>
  <c r="S27" i="1"/>
  <c r="V27" i="1" s="1"/>
  <c r="P27" i="1"/>
  <c r="H22" i="2"/>
  <c r="J27" i="1" s="1"/>
  <c r="AA21" i="2"/>
  <c r="S26" i="1"/>
  <c r="V26" i="1" s="1"/>
  <c r="J26" i="1"/>
  <c r="S25" i="1"/>
  <c r="V25" i="1" s="1"/>
  <c r="P25" i="1"/>
  <c r="H20" i="2"/>
  <c r="J25" i="1" s="1"/>
  <c r="AH19" i="2"/>
  <c r="AF19" i="2"/>
  <c r="AG19" i="2" s="1"/>
  <c r="AA19" i="2"/>
  <c r="Y19" i="2"/>
  <c r="Z19" i="2" s="1"/>
  <c r="T19" i="2"/>
  <c r="P22" i="1"/>
  <c r="M19" i="2"/>
  <c r="H19" i="2"/>
  <c r="AH18" i="2"/>
  <c r="AF18" i="2"/>
  <c r="AG18" i="2" s="1"/>
  <c r="Y18" i="2"/>
  <c r="Z18" i="2" s="1"/>
  <c r="T18" i="2"/>
  <c r="P21" i="1"/>
  <c r="H18" i="2"/>
  <c r="J21" i="1" s="1"/>
  <c r="AH17" i="2"/>
  <c r="AF17" i="2"/>
  <c r="AG17" i="2" s="1"/>
  <c r="AA17" i="2"/>
  <c r="Y17" i="2"/>
  <c r="Z17" i="2" s="1"/>
  <c r="S20" i="1"/>
  <c r="V20" i="1" s="1"/>
  <c r="P20" i="1"/>
  <c r="M17" i="2"/>
  <c r="H17" i="2"/>
  <c r="J20" i="1" s="1"/>
  <c r="AH16" i="2"/>
  <c r="AF16" i="2"/>
  <c r="AG16" i="2" s="1"/>
  <c r="AA16" i="2"/>
  <c r="Y16" i="2"/>
  <c r="Z16" i="2" s="1"/>
  <c r="S16" i="2"/>
  <c r="P19" i="1"/>
  <c r="H16" i="2"/>
  <c r="AH15" i="2"/>
  <c r="AF15" i="2"/>
  <c r="AG15" i="2" s="1"/>
  <c r="AB14" i="2"/>
  <c r="AH8" i="2"/>
  <c r="AG214" i="1"/>
  <c r="AD214" i="1"/>
  <c r="AD213" i="1" s="1"/>
  <c r="U26" i="6" s="1"/>
  <c r="Z214" i="1"/>
  <c r="AC214" i="1" s="1"/>
  <c r="W214" i="1"/>
  <c r="W213" i="1" s="1"/>
  <c r="P26" i="6" s="1"/>
  <c r="S214" i="1"/>
  <c r="V214" i="1" s="1"/>
  <c r="D26" i="6"/>
  <c r="C55" i="6" s="1"/>
  <c r="H214" i="1"/>
  <c r="H213" i="1" s="1"/>
  <c r="C26" i="6" s="1"/>
  <c r="B55" i="6" s="1"/>
  <c r="I55" i="6" s="1"/>
  <c r="F214" i="1"/>
  <c r="E214" i="1"/>
  <c r="AG211" i="1"/>
  <c r="AD212" i="1"/>
  <c r="AD211" i="1" s="1"/>
  <c r="U25" i="6" s="1"/>
  <c r="Z212" i="1"/>
  <c r="AC212" i="1" s="1"/>
  <c r="W212" i="1"/>
  <c r="W211" i="1" s="1"/>
  <c r="P25" i="6" s="1"/>
  <c r="S212" i="1"/>
  <c r="V212" i="1" s="1"/>
  <c r="D25" i="6"/>
  <c r="C54" i="6" s="1"/>
  <c r="H212" i="1"/>
  <c r="H211" i="1" s="1"/>
  <c r="C25" i="6" s="1"/>
  <c r="B54" i="6" s="1"/>
  <c r="I54" i="6" s="1"/>
  <c r="F212" i="1"/>
  <c r="E212" i="1"/>
  <c r="AG209" i="1"/>
  <c r="AJ209" i="1" s="1"/>
  <c r="AD209" i="1"/>
  <c r="Z209" i="1"/>
  <c r="AC209" i="1" s="1"/>
  <c r="W209" i="1"/>
  <c r="S209" i="1"/>
  <c r="V209" i="1" s="1"/>
  <c r="H209" i="1"/>
  <c r="F209" i="1"/>
  <c r="E209" i="1"/>
  <c r="AG208" i="1"/>
  <c r="W208" i="1"/>
  <c r="S208" i="1"/>
  <c r="V208" i="1" s="1"/>
  <c r="H208" i="1"/>
  <c r="F208" i="1"/>
  <c r="E208" i="1"/>
  <c r="D24" i="6"/>
  <c r="C53" i="6" s="1"/>
  <c r="AG206" i="1"/>
  <c r="AD206" i="1"/>
  <c r="Z206" i="1"/>
  <c r="W206" i="1"/>
  <c r="S206" i="1"/>
  <c r="V206" i="1" s="1"/>
  <c r="P206" i="1"/>
  <c r="H206" i="1"/>
  <c r="F206" i="1"/>
  <c r="E206" i="1"/>
  <c r="AG204" i="1"/>
  <c r="AD204" i="1"/>
  <c r="Z204" i="1"/>
  <c r="S204" i="1"/>
  <c r="V204" i="1" s="1"/>
  <c r="H204" i="1"/>
  <c r="F204" i="1"/>
  <c r="E204" i="1"/>
  <c r="AG203" i="1"/>
  <c r="Z203" i="1"/>
  <c r="W203" i="1"/>
  <c r="H203" i="1"/>
  <c r="F203" i="1"/>
  <c r="E203" i="1"/>
  <c r="AG199" i="1"/>
  <c r="AD199" i="1"/>
  <c r="Z199" i="1"/>
  <c r="W199" i="1"/>
  <c r="S199" i="1"/>
  <c r="V199" i="1" s="1"/>
  <c r="H199" i="1"/>
  <c r="F199" i="1"/>
  <c r="E199" i="1"/>
  <c r="AG198" i="1"/>
  <c r="AD198" i="1"/>
  <c r="Z198" i="1"/>
  <c r="W198" i="1"/>
  <c r="S198" i="1"/>
  <c r="V198" i="1" s="1"/>
  <c r="H198" i="1"/>
  <c r="F198" i="1"/>
  <c r="E198" i="1"/>
  <c r="AG197" i="1"/>
  <c r="Z197" i="1"/>
  <c r="W197" i="1"/>
  <c r="S197" i="1"/>
  <c r="V197" i="1" s="1"/>
  <c r="H197" i="1"/>
  <c r="F197" i="1"/>
  <c r="E197" i="1"/>
  <c r="Z196" i="1"/>
  <c r="W196" i="1"/>
  <c r="H196" i="1"/>
  <c r="F196" i="1"/>
  <c r="E196" i="1"/>
  <c r="AG194" i="1"/>
  <c r="AJ194" i="1" s="1"/>
  <c r="AD194" i="1"/>
  <c r="Z194" i="1"/>
  <c r="W194" i="1"/>
  <c r="S194" i="1"/>
  <c r="V194" i="1" s="1"/>
  <c r="P194" i="1"/>
  <c r="H194" i="1"/>
  <c r="F194" i="1"/>
  <c r="E194" i="1"/>
  <c r="AG192" i="1"/>
  <c r="AJ192" i="1" s="1"/>
  <c r="Z192" i="1"/>
  <c r="W192" i="1"/>
  <c r="S192" i="1"/>
  <c r="V192" i="1" s="1"/>
  <c r="H192" i="1"/>
  <c r="F192" i="1"/>
  <c r="E192" i="1"/>
  <c r="AG191" i="1"/>
  <c r="Z191" i="1"/>
  <c r="W191" i="1"/>
  <c r="H191" i="1"/>
  <c r="F191" i="1"/>
  <c r="E191" i="1"/>
  <c r="AG189" i="1"/>
  <c r="Z189" i="1"/>
  <c r="AC189" i="1" s="1"/>
  <c r="W189" i="1"/>
  <c r="S189" i="1"/>
  <c r="V189" i="1" s="1"/>
  <c r="H189" i="1"/>
  <c r="F189" i="1"/>
  <c r="E189" i="1"/>
  <c r="AD188" i="1"/>
  <c r="W188" i="1"/>
  <c r="S188" i="1"/>
  <c r="V188" i="1" s="1"/>
  <c r="H188" i="1"/>
  <c r="F188" i="1"/>
  <c r="E188" i="1"/>
  <c r="AG187" i="1"/>
  <c r="AD187" i="1"/>
  <c r="Z187" i="1"/>
  <c r="W187" i="1"/>
  <c r="S187" i="1"/>
  <c r="V187" i="1" s="1"/>
  <c r="P187" i="1"/>
  <c r="H187" i="1"/>
  <c r="F187" i="1"/>
  <c r="E187" i="1"/>
  <c r="AG184" i="1"/>
  <c r="AD184" i="1"/>
  <c r="Z184" i="1"/>
  <c r="W184" i="1"/>
  <c r="S184" i="1"/>
  <c r="V184" i="1" s="1"/>
  <c r="P184" i="1"/>
  <c r="H184" i="1"/>
  <c r="F184" i="1"/>
  <c r="E184" i="1"/>
  <c r="AG183" i="1"/>
  <c r="AD183" i="1"/>
  <c r="S183" i="1"/>
  <c r="V183" i="1" s="1"/>
  <c r="P183" i="1"/>
  <c r="H183" i="1"/>
  <c r="F183" i="1"/>
  <c r="E183" i="1"/>
  <c r="AD182" i="1"/>
  <c r="W182" i="1"/>
  <c r="H182" i="1"/>
  <c r="F182" i="1"/>
  <c r="E182" i="1"/>
  <c r="AG181" i="1"/>
  <c r="AD181" i="1"/>
  <c r="Z181" i="1"/>
  <c r="W181" i="1"/>
  <c r="S181" i="1"/>
  <c r="V181" i="1" s="1"/>
  <c r="P181" i="1"/>
  <c r="H181" i="1"/>
  <c r="F181" i="1"/>
  <c r="E181" i="1"/>
  <c r="AD179" i="1"/>
  <c r="F179" i="1"/>
  <c r="E179" i="1"/>
  <c r="AG178" i="1"/>
  <c r="AJ178" i="1" s="1"/>
  <c r="W178" i="1"/>
  <c r="S178" i="1"/>
  <c r="V178" i="1" s="1"/>
  <c r="H178" i="1"/>
  <c r="F178" i="1"/>
  <c r="E178" i="1"/>
  <c r="AD177" i="1"/>
  <c r="W177" i="1"/>
  <c r="H177" i="1"/>
  <c r="F177" i="1"/>
  <c r="E177" i="1"/>
  <c r="AG176" i="1"/>
  <c r="AJ176" i="1" s="1"/>
  <c r="Z176" i="1"/>
  <c r="S176" i="1"/>
  <c r="V176" i="1" s="1"/>
  <c r="H176" i="1"/>
  <c r="F176" i="1"/>
  <c r="E176" i="1"/>
  <c r="AG175" i="1"/>
  <c r="AJ175" i="1" s="1"/>
  <c r="W175" i="1"/>
  <c r="S175" i="1"/>
  <c r="V175" i="1" s="1"/>
  <c r="H175" i="1"/>
  <c r="F175" i="1"/>
  <c r="E175" i="1"/>
  <c r="AG171" i="1"/>
  <c r="AD171" i="1"/>
  <c r="Z171" i="1"/>
  <c r="W171" i="1"/>
  <c r="S171" i="1"/>
  <c r="V171" i="1" s="1"/>
  <c r="H171" i="1"/>
  <c r="F171" i="1"/>
  <c r="E171" i="1"/>
  <c r="AG170" i="1"/>
  <c r="AD170" i="1"/>
  <c r="Z170" i="1"/>
  <c r="W170" i="1"/>
  <c r="H170" i="1"/>
  <c r="F170" i="1"/>
  <c r="E170" i="1"/>
  <c r="AG169" i="1"/>
  <c r="AD169" i="1"/>
  <c r="W169" i="1"/>
  <c r="S169" i="1"/>
  <c r="V169" i="1" s="1"/>
  <c r="H169" i="1"/>
  <c r="F169" i="1"/>
  <c r="E169" i="1"/>
  <c r="AG167" i="1"/>
  <c r="Z167" i="1"/>
  <c r="W167" i="1"/>
  <c r="W166" i="1" s="1"/>
  <c r="S167" i="1"/>
  <c r="V167" i="1" s="1"/>
  <c r="P167" i="1"/>
  <c r="P166" i="1" s="1"/>
  <c r="H167" i="1"/>
  <c r="H166" i="1" s="1"/>
  <c r="AG165" i="1"/>
  <c r="AJ165" i="1" s="1"/>
  <c r="AD165" i="1"/>
  <c r="W165" i="1"/>
  <c r="S165" i="1"/>
  <c r="V165" i="1" s="1"/>
  <c r="H165" i="1"/>
  <c r="F165" i="1"/>
  <c r="E165" i="1"/>
  <c r="AG164" i="1"/>
  <c r="AJ164" i="1" s="1"/>
  <c r="W164" i="1"/>
  <c r="H164" i="1"/>
  <c r="F164" i="1"/>
  <c r="E164" i="1"/>
  <c r="AG162" i="1"/>
  <c r="AD162" i="1"/>
  <c r="W162" i="1"/>
  <c r="P162" i="1"/>
  <c r="H162" i="1"/>
  <c r="F162" i="1"/>
  <c r="E162" i="1"/>
  <c r="AG161" i="1"/>
  <c r="AD161" i="1"/>
  <c r="Z161" i="1"/>
  <c r="W161" i="1"/>
  <c r="S161" i="1"/>
  <c r="V161" i="1" s="1"/>
  <c r="P161" i="1"/>
  <c r="H161" i="1"/>
  <c r="F161" i="1"/>
  <c r="E161" i="1"/>
  <c r="AG160" i="1"/>
  <c r="AD160" i="1"/>
  <c r="Z160" i="1"/>
  <c r="W160" i="1"/>
  <c r="S160" i="1"/>
  <c r="V160" i="1" s="1"/>
  <c r="H160" i="1"/>
  <c r="F160" i="1"/>
  <c r="E160" i="1"/>
  <c r="AG159" i="1"/>
  <c r="AD159" i="1"/>
  <c r="Z159" i="1"/>
  <c r="S159" i="1"/>
  <c r="V159" i="1" s="1"/>
  <c r="F159" i="1"/>
  <c r="E159" i="1"/>
  <c r="AD158" i="1"/>
  <c r="W158" i="1"/>
  <c r="H158" i="1"/>
  <c r="F158" i="1"/>
  <c r="E158" i="1"/>
  <c r="AG156" i="1"/>
  <c r="AD156" i="1"/>
  <c r="Z156" i="1"/>
  <c r="S156" i="1"/>
  <c r="V156" i="1" s="1"/>
  <c r="F156" i="1"/>
  <c r="E156" i="1"/>
  <c r="AG155" i="1"/>
  <c r="Z155" i="1"/>
  <c r="W155" i="1"/>
  <c r="S155" i="1"/>
  <c r="V155" i="1" s="1"/>
  <c r="H155" i="1"/>
  <c r="F155" i="1"/>
  <c r="E155" i="1"/>
  <c r="AG152" i="1"/>
  <c r="Z152" i="1"/>
  <c r="AC152" i="1" s="1"/>
  <c r="W152" i="1"/>
  <c r="S152" i="1"/>
  <c r="V152" i="1" s="1"/>
  <c r="H152" i="1"/>
  <c r="F152" i="1"/>
  <c r="E152" i="1"/>
  <c r="AD151" i="1"/>
  <c r="Z151" i="1"/>
  <c r="AC151" i="1" s="1"/>
  <c r="W151" i="1"/>
  <c r="S151" i="1"/>
  <c r="V151" i="1" s="1"/>
  <c r="L151" i="1"/>
  <c r="H151" i="1"/>
  <c r="F151" i="1"/>
  <c r="E151" i="1"/>
  <c r="AG150" i="1"/>
  <c r="AD150" i="1"/>
  <c r="Z150" i="1"/>
  <c r="W150" i="1"/>
  <c r="S150" i="1"/>
  <c r="V150" i="1" s="1"/>
  <c r="H150" i="1"/>
  <c r="F150" i="1"/>
  <c r="E150" i="1"/>
  <c r="AG149" i="1"/>
  <c r="AD149" i="1"/>
  <c r="Z149" i="1"/>
  <c r="W149" i="1"/>
  <c r="S149" i="1"/>
  <c r="V149" i="1" s="1"/>
  <c r="H149" i="1"/>
  <c r="F149" i="1"/>
  <c r="E149" i="1"/>
  <c r="AG147" i="1"/>
  <c r="AJ147" i="1" s="1"/>
  <c r="AD147" i="1"/>
  <c r="Z147" i="1"/>
  <c r="W147" i="1"/>
  <c r="S147" i="1"/>
  <c r="V147" i="1" s="1"/>
  <c r="H147" i="1"/>
  <c r="F147" i="1"/>
  <c r="E147" i="1"/>
  <c r="AD146" i="1"/>
  <c r="S146" i="1"/>
  <c r="V146" i="1" s="1"/>
  <c r="P146" i="1"/>
  <c r="H146" i="1"/>
  <c r="F146" i="1"/>
  <c r="E146" i="1"/>
  <c r="AG145" i="1"/>
  <c r="AJ145" i="1" s="1"/>
  <c r="AD145" i="1"/>
  <c r="S145" i="1"/>
  <c r="V145" i="1" s="1"/>
  <c r="H145" i="1"/>
  <c r="F145" i="1"/>
  <c r="AG144" i="1"/>
  <c r="AJ144" i="1" s="1"/>
  <c r="AD144" i="1"/>
  <c r="W144" i="1"/>
  <c r="P144" i="1"/>
  <c r="H144" i="1"/>
  <c r="F144" i="1"/>
  <c r="E144" i="1"/>
  <c r="AG141" i="1"/>
  <c r="AD141" i="1"/>
  <c r="Z141" i="1"/>
  <c r="W141" i="1"/>
  <c r="H141" i="1"/>
  <c r="F141" i="1"/>
  <c r="E141" i="1"/>
  <c r="AG140" i="1"/>
  <c r="AD140" i="1"/>
  <c r="Z140" i="1"/>
  <c r="W140" i="1"/>
  <c r="P140" i="1"/>
  <c r="H140" i="1"/>
  <c r="F140" i="1"/>
  <c r="E140" i="1"/>
  <c r="AG138" i="1"/>
  <c r="AD138" i="1"/>
  <c r="Z138" i="1"/>
  <c r="S138" i="1"/>
  <c r="H138" i="1"/>
  <c r="F138" i="1"/>
  <c r="E138" i="1"/>
  <c r="AG137" i="1"/>
  <c r="Z137" i="1"/>
  <c r="AC137" i="1" s="1"/>
  <c r="S137" i="1"/>
  <c r="V137" i="1" s="1"/>
  <c r="L137" i="1"/>
  <c r="O137" i="1" s="1"/>
  <c r="H137" i="1"/>
  <c r="F137" i="1"/>
  <c r="E137" i="1"/>
  <c r="AD136" i="1"/>
  <c r="Z136" i="1"/>
  <c r="W136" i="1"/>
  <c r="S136" i="1"/>
  <c r="V136" i="1" s="1"/>
  <c r="H136" i="1"/>
  <c r="F136" i="1"/>
  <c r="E136" i="1"/>
  <c r="AG135" i="1"/>
  <c r="AJ135" i="1" s="1"/>
  <c r="Z135" i="1"/>
  <c r="AC135" i="1" s="1"/>
  <c r="S135" i="1"/>
  <c r="V135" i="1" s="1"/>
  <c r="L135" i="1"/>
  <c r="O135" i="1" s="1"/>
  <c r="H135" i="1"/>
  <c r="F135" i="1"/>
  <c r="E135" i="1"/>
  <c r="AG134" i="1"/>
  <c r="AD134" i="1"/>
  <c r="Z134" i="1"/>
  <c r="AC134" i="1" s="1"/>
  <c r="W134" i="1"/>
  <c r="H134" i="1"/>
  <c r="F134" i="1"/>
  <c r="E134" i="1"/>
  <c r="AG131" i="1"/>
  <c r="AD131" i="1"/>
  <c r="Z131" i="1"/>
  <c r="W131" i="1"/>
  <c r="H131" i="1"/>
  <c r="F131" i="1"/>
  <c r="E131" i="1"/>
  <c r="AD130" i="1"/>
  <c r="Z130" i="1"/>
  <c r="W130" i="1"/>
  <c r="S130" i="1"/>
  <c r="V130" i="1" s="1"/>
  <c r="H130" i="1"/>
  <c r="F130" i="1"/>
  <c r="E130" i="1"/>
  <c r="AG128" i="1"/>
  <c r="AD128" i="1"/>
  <c r="Z128" i="1"/>
  <c r="S128" i="1"/>
  <c r="V128" i="1" s="1"/>
  <c r="H128" i="1"/>
  <c r="F128" i="1"/>
  <c r="E128" i="1"/>
  <c r="AG125" i="1"/>
  <c r="AJ125" i="1" s="1"/>
  <c r="Z125" i="1"/>
  <c r="AC125" i="1" s="1"/>
  <c r="W125" i="1"/>
  <c r="W124" i="1" s="1"/>
  <c r="S125" i="1"/>
  <c r="V125" i="1" s="1"/>
  <c r="H125" i="1"/>
  <c r="H124" i="1" s="1"/>
  <c r="F125" i="1"/>
  <c r="E125" i="1"/>
  <c r="AG123" i="1"/>
  <c r="W123" i="1"/>
  <c r="S123" i="1"/>
  <c r="V123" i="1" s="1"/>
  <c r="H123" i="1"/>
  <c r="F123" i="1"/>
  <c r="E123" i="1"/>
  <c r="AG122" i="1"/>
  <c r="AD122" i="1"/>
  <c r="Z122" i="1"/>
  <c r="W122" i="1"/>
  <c r="S122" i="1"/>
  <c r="H122" i="1"/>
  <c r="F122" i="1"/>
  <c r="E122" i="1"/>
  <c r="AD116" i="1"/>
  <c r="W116" i="1"/>
  <c r="S116" i="1"/>
  <c r="V116" i="1" s="1"/>
  <c r="H116" i="1"/>
  <c r="F116" i="1"/>
  <c r="E116" i="1"/>
  <c r="AG115" i="1"/>
  <c r="Z115" i="1"/>
  <c r="AC115" i="1" s="1"/>
  <c r="W115" i="1"/>
  <c r="S115" i="1"/>
  <c r="V115" i="1" s="1"/>
  <c r="H115" i="1"/>
  <c r="F115" i="1"/>
  <c r="E115" i="1"/>
  <c r="AG114" i="1"/>
  <c r="Z114" i="1"/>
  <c r="W114" i="1"/>
  <c r="S114" i="1"/>
  <c r="H114" i="1"/>
  <c r="F114" i="1"/>
  <c r="E114" i="1"/>
  <c r="AG112" i="1"/>
  <c r="AD112" i="1"/>
  <c r="Z112" i="1"/>
  <c r="W112" i="1"/>
  <c r="S112" i="1"/>
  <c r="H112" i="1"/>
  <c r="F112" i="1"/>
  <c r="E112" i="1"/>
  <c r="AG111" i="1"/>
  <c r="AD111" i="1"/>
  <c r="Z111" i="1"/>
  <c r="AC111" i="1" s="1"/>
  <c r="W111" i="1"/>
  <c r="S111" i="1"/>
  <c r="V111" i="1" s="1"/>
  <c r="H111" i="1"/>
  <c r="F111" i="1"/>
  <c r="E111" i="1"/>
  <c r="AG109" i="1"/>
  <c r="AJ109" i="1" s="1"/>
  <c r="AD109" i="1"/>
  <c r="Z109" i="1"/>
  <c r="W109" i="1"/>
  <c r="S109" i="1"/>
  <c r="V109" i="1" s="1"/>
  <c r="H109" i="1"/>
  <c r="F109" i="1"/>
  <c r="E109" i="1"/>
  <c r="Z108" i="1"/>
  <c r="W108" i="1"/>
  <c r="S108" i="1"/>
  <c r="H108" i="1"/>
  <c r="F108" i="1"/>
  <c r="E108" i="1"/>
  <c r="AJ104" i="1"/>
  <c r="F104" i="1"/>
  <c r="AD103" i="1"/>
  <c r="AD102" i="1" s="1"/>
  <c r="P103" i="1"/>
  <c r="P102" i="1" s="1"/>
  <c r="F103" i="1"/>
  <c r="AD101" i="1"/>
  <c r="AD100" i="1" s="1"/>
  <c r="AC101" i="1"/>
  <c r="W101" i="1"/>
  <c r="W100" i="1" s="1"/>
  <c r="P101" i="1"/>
  <c r="P100" i="1" s="1"/>
  <c r="H100" i="1"/>
  <c r="F101" i="1"/>
  <c r="AD96" i="1"/>
  <c r="W96" i="1"/>
  <c r="P96" i="1"/>
  <c r="H96" i="1"/>
  <c r="F96" i="1"/>
  <c r="AD95" i="1"/>
  <c r="W95" i="1"/>
  <c r="P95" i="1"/>
  <c r="H95" i="1"/>
  <c r="F95" i="1"/>
  <c r="AD93" i="1"/>
  <c r="AC93" i="1"/>
  <c r="H93" i="1"/>
  <c r="H92" i="1" s="1"/>
  <c r="F93" i="1"/>
  <c r="AD90" i="1"/>
  <c r="AD89" i="1" s="1"/>
  <c r="W90" i="1"/>
  <c r="W89" i="1" s="1"/>
  <c r="H90" i="1"/>
  <c r="H89" i="1" s="1"/>
  <c r="F90" i="1"/>
  <c r="AD88" i="1"/>
  <c r="AC88" i="1"/>
  <c r="H88" i="1"/>
  <c r="F88" i="1"/>
  <c r="AD87" i="1"/>
  <c r="AC87" i="1"/>
  <c r="P87" i="1"/>
  <c r="H87" i="1"/>
  <c r="F87" i="1"/>
  <c r="AD86" i="1"/>
  <c r="AC86" i="1"/>
  <c r="H86" i="1"/>
  <c r="F86" i="1"/>
  <c r="AD83" i="1"/>
  <c r="AC83" i="1"/>
  <c r="W83" i="1"/>
  <c r="H83" i="1"/>
  <c r="AC82" i="1"/>
  <c r="H82" i="1"/>
  <c r="F82" i="1"/>
  <c r="AG79" i="1"/>
  <c r="Z79" i="1"/>
  <c r="AC79" i="1" s="1"/>
  <c r="S79" i="1"/>
  <c r="V79" i="1" s="1"/>
  <c r="H79" i="1"/>
  <c r="F79" i="1"/>
  <c r="E79" i="1"/>
  <c r="AG78" i="1"/>
  <c r="AD78" i="1"/>
  <c r="Z78" i="1"/>
  <c r="W78" i="1"/>
  <c r="S78" i="1"/>
  <c r="F78" i="1"/>
  <c r="E78" i="1"/>
  <c r="AG75" i="1"/>
  <c r="AD75" i="1"/>
  <c r="AD74" i="1" s="1"/>
  <c r="W75" i="1"/>
  <c r="W74" i="1" s="1"/>
  <c r="S75" i="1"/>
  <c r="V75" i="1" s="1"/>
  <c r="H75" i="1"/>
  <c r="H74" i="1" s="1"/>
  <c r="F75" i="1"/>
  <c r="E75" i="1"/>
  <c r="AG73" i="1"/>
  <c r="AJ73" i="1" s="1"/>
  <c r="AD73" i="1"/>
  <c r="AD72" i="1" s="1"/>
  <c r="W73" i="1"/>
  <c r="W72" i="1" s="1"/>
  <c r="H73" i="1"/>
  <c r="H72" i="1" s="1"/>
  <c r="F73" i="1"/>
  <c r="E73" i="1"/>
  <c r="AG71" i="1"/>
  <c r="AD71" i="1"/>
  <c r="Z71" i="1"/>
  <c r="AC71" i="1" s="1"/>
  <c r="W71" i="1"/>
  <c r="S71" i="1"/>
  <c r="V71" i="1" s="1"/>
  <c r="P71" i="1"/>
  <c r="H71" i="1"/>
  <c r="F71" i="1"/>
  <c r="E71" i="1"/>
  <c r="AG70" i="1"/>
  <c r="AD70" i="1"/>
  <c r="Z70" i="1"/>
  <c r="W70" i="1"/>
  <c r="H70" i="1"/>
  <c r="F70" i="1"/>
  <c r="E70" i="1"/>
  <c r="AG69" i="1"/>
  <c r="AD69" i="1"/>
  <c r="Z69" i="1"/>
  <c r="AC69" i="1" s="1"/>
  <c r="W69" i="1"/>
  <c r="H69" i="1"/>
  <c r="F69" i="1"/>
  <c r="E69" i="1"/>
  <c r="F67" i="1"/>
  <c r="AG66" i="1"/>
  <c r="AJ66" i="1" s="1"/>
  <c r="AD66" i="1"/>
  <c r="AD65" i="1" s="1"/>
  <c r="W66" i="1"/>
  <c r="W65" i="1" s="1"/>
  <c r="H66" i="1"/>
  <c r="H65" i="1" s="1"/>
  <c r="F66" i="1"/>
  <c r="E66" i="1"/>
  <c r="AG59" i="1"/>
  <c r="AJ59" i="1" s="1"/>
  <c r="AD59" i="1"/>
  <c r="Z59" i="1"/>
  <c r="W59" i="1"/>
  <c r="F59" i="1"/>
  <c r="E59" i="1"/>
  <c r="AG57" i="1"/>
  <c r="AJ57" i="1" s="1"/>
  <c r="AD57" i="1"/>
  <c r="AD56" i="1" s="1"/>
  <c r="Z57" i="1"/>
  <c r="AC57" i="1" s="1"/>
  <c r="H57" i="1"/>
  <c r="H56" i="1" s="1"/>
  <c r="F57" i="1"/>
  <c r="E57" i="1"/>
  <c r="AG55" i="1"/>
  <c r="AJ55" i="1" s="1"/>
  <c r="AD55" i="1"/>
  <c r="Z55" i="1"/>
  <c r="W55" i="1"/>
  <c r="P55" i="1"/>
  <c r="H55" i="1"/>
  <c r="F55" i="1"/>
  <c r="E55" i="1"/>
  <c r="AD54" i="1"/>
  <c r="Z54" i="1"/>
  <c r="W54" i="1"/>
  <c r="P54" i="1"/>
  <c r="H54" i="1"/>
  <c r="F54" i="1"/>
  <c r="E54" i="1"/>
  <c r="AD51" i="1"/>
  <c r="W51" i="1"/>
  <c r="P51" i="1"/>
  <c r="H51" i="1"/>
  <c r="F51" i="1"/>
  <c r="E51" i="1"/>
  <c r="AD50" i="1"/>
  <c r="W50" i="1"/>
  <c r="H50" i="1"/>
  <c r="F50" i="1"/>
  <c r="E50" i="1"/>
  <c r="AG47" i="1"/>
  <c r="AJ47" i="1" s="1"/>
  <c r="AD47" i="1"/>
  <c r="Z47" i="1"/>
  <c r="AC47" i="1" s="1"/>
  <c r="W47" i="1"/>
  <c r="H47" i="1"/>
  <c r="F47" i="1"/>
  <c r="E47" i="1"/>
  <c r="AG46" i="1"/>
  <c r="AJ46" i="1" s="1"/>
  <c r="AD46" i="1"/>
  <c r="Z46" i="1"/>
  <c r="AC46" i="1" s="1"/>
  <c r="H46" i="1"/>
  <c r="F46" i="1"/>
  <c r="E46" i="1"/>
  <c r="AD45" i="1"/>
  <c r="W45" i="1"/>
  <c r="H45" i="1"/>
  <c r="F45" i="1"/>
  <c r="E45" i="1"/>
  <c r="AG44" i="1"/>
  <c r="AD44" i="1"/>
  <c r="Z44" i="1"/>
  <c r="W44" i="1"/>
  <c r="P44" i="1"/>
  <c r="L44" i="1"/>
  <c r="H44" i="1"/>
  <c r="F44" i="1"/>
  <c r="E44" i="1"/>
  <c r="AD43" i="1"/>
  <c r="H43" i="1"/>
  <c r="F43" i="1"/>
  <c r="E43" i="1"/>
  <c r="AD42" i="1"/>
  <c r="H42" i="1"/>
  <c r="F42" i="1"/>
  <c r="E42" i="1"/>
  <c r="AD38" i="1"/>
  <c r="Z38" i="1"/>
  <c r="W38" i="1"/>
  <c r="H38" i="1"/>
  <c r="F38" i="1"/>
  <c r="AG37" i="1"/>
  <c r="AJ37" i="1" s="1"/>
  <c r="W37" i="1"/>
  <c r="H37" i="1"/>
  <c r="F37" i="1"/>
  <c r="AG34" i="1"/>
  <c r="AG33" i="1" s="1"/>
  <c r="AD34" i="1"/>
  <c r="AD33" i="1" s="1"/>
  <c r="Z34" i="1"/>
  <c r="Z33" i="1" s="1"/>
  <c r="W34" i="1"/>
  <c r="W33" i="1" s="1"/>
  <c r="H34" i="1"/>
  <c r="H33" i="1" s="1"/>
  <c r="F34" i="1"/>
  <c r="AJ31" i="1"/>
  <c r="AD31" i="1"/>
  <c r="AC31" i="1"/>
  <c r="W31" i="1"/>
  <c r="H31" i="1"/>
  <c r="AG30" i="1"/>
  <c r="AJ30" i="1" s="1"/>
  <c r="AD30" i="1"/>
  <c r="W30" i="1"/>
  <c r="S30" i="1"/>
  <c r="V30" i="1" s="1"/>
  <c r="P30" i="1"/>
  <c r="H30" i="1"/>
  <c r="F30" i="1"/>
  <c r="E30" i="1"/>
  <c r="AG29" i="1"/>
  <c r="AJ29" i="1" s="1"/>
  <c r="AD29" i="1"/>
  <c r="Z29" i="1"/>
  <c r="AC29" i="1" s="1"/>
  <c r="W29" i="1"/>
  <c r="H29" i="1"/>
  <c r="F29" i="1"/>
  <c r="E29" i="1"/>
  <c r="AG27" i="1"/>
  <c r="AD27" i="1"/>
  <c r="H27" i="1"/>
  <c r="F27" i="1"/>
  <c r="E27" i="1"/>
  <c r="AG26" i="1"/>
  <c r="AD26" i="1"/>
  <c r="Z26" i="1"/>
  <c r="AC26" i="1" s="1"/>
  <c r="W26" i="1"/>
  <c r="P26" i="1"/>
  <c r="H26" i="1"/>
  <c r="F26" i="1"/>
  <c r="E26" i="1"/>
  <c r="AG25" i="1"/>
  <c r="AD25" i="1"/>
  <c r="Z25" i="1"/>
  <c r="W25" i="1"/>
  <c r="H25" i="1"/>
  <c r="F25" i="1"/>
  <c r="E25" i="1"/>
  <c r="AG22" i="1"/>
  <c r="AD22" i="1"/>
  <c r="Z22" i="1"/>
  <c r="W22" i="1"/>
  <c r="H22" i="1"/>
  <c r="F22" i="1"/>
  <c r="E22" i="1"/>
  <c r="AG21" i="1"/>
  <c r="AD21" i="1"/>
  <c r="Z21" i="1"/>
  <c r="W21" i="1"/>
  <c r="H21" i="1"/>
  <c r="F21" i="1"/>
  <c r="E21" i="1"/>
  <c r="AG20" i="1"/>
  <c r="AD20" i="1"/>
  <c r="Z20" i="1"/>
  <c r="W20" i="1"/>
  <c r="H20" i="1"/>
  <c r="F20" i="1"/>
  <c r="E20" i="1"/>
  <c r="AG19" i="1"/>
  <c r="AD19" i="1"/>
  <c r="Z19" i="1"/>
  <c r="W19" i="1"/>
  <c r="H19" i="1"/>
  <c r="F19" i="1"/>
  <c r="E19" i="1"/>
  <c r="AG18" i="1"/>
  <c r="Z18" i="1"/>
  <c r="W18" i="1"/>
  <c r="H18" i="1"/>
  <c r="F18" i="1"/>
  <c r="E18" i="1"/>
  <c r="J19" i="1" l="1"/>
  <c r="H10" i="2"/>
  <c r="AG12" i="1"/>
  <c r="P12" i="1"/>
  <c r="H13" i="1"/>
  <c r="AD12" i="1"/>
  <c r="Z9" i="1"/>
  <c r="AD9" i="1"/>
  <c r="U9" i="6" s="1"/>
  <c r="W13" i="1"/>
  <c r="L9" i="1"/>
  <c r="I13" i="1"/>
  <c r="D13" i="6" s="1"/>
  <c r="H11" i="1"/>
  <c r="AD13" i="1"/>
  <c r="I9" i="1"/>
  <c r="W8" i="1"/>
  <c r="L12" i="1"/>
  <c r="AG13" i="1"/>
  <c r="S13" i="1"/>
  <c r="W12" i="1"/>
  <c r="I12" i="1"/>
  <c r="D12" i="6" s="1"/>
  <c r="H10" i="1"/>
  <c r="I8" i="1"/>
  <c r="S12" i="1"/>
  <c r="AG9" i="1"/>
  <c r="I7" i="7" s="1"/>
  <c r="Z13" i="1"/>
  <c r="J13" i="1"/>
  <c r="I11" i="1"/>
  <c r="D11" i="6" s="1"/>
  <c r="H9" i="1"/>
  <c r="H12" i="1"/>
  <c r="Z12" i="1"/>
  <c r="J12" i="1"/>
  <c r="S9" i="1"/>
  <c r="V9" i="1" s="1"/>
  <c r="L13" i="1"/>
  <c r="P13" i="1"/>
  <c r="J198" i="1"/>
  <c r="J22" i="1"/>
  <c r="B7" i="5"/>
  <c r="AH83" i="1"/>
  <c r="AI83" i="1" s="1"/>
  <c r="AA83" i="1"/>
  <c r="AB83" i="1" s="1"/>
  <c r="T83" i="1"/>
  <c r="AH82" i="1"/>
  <c r="AI82" i="1" s="1"/>
  <c r="AA82" i="1"/>
  <c r="AB82" i="1" s="1"/>
  <c r="T82" i="1"/>
  <c r="U82" i="1" s="1"/>
  <c r="AL26" i="2"/>
  <c r="O44" i="1"/>
  <c r="M44" i="1"/>
  <c r="N44" i="1" s="1"/>
  <c r="J83" i="1"/>
  <c r="AJ44" i="1"/>
  <c r="AH44" i="1"/>
  <c r="AI44" i="1" s="1"/>
  <c r="V44" i="1"/>
  <c r="T44" i="1"/>
  <c r="U44" i="1" s="1"/>
  <c r="AC44" i="1"/>
  <c r="AA44" i="1"/>
  <c r="AB44" i="1" s="1"/>
  <c r="J38" i="2"/>
  <c r="AE32" i="2"/>
  <c r="AE39" i="2"/>
  <c r="AE34" i="2"/>
  <c r="AF34" i="2" s="1"/>
  <c r="AG34" i="2" s="1"/>
  <c r="AE31" i="2"/>
  <c r="AE37" i="2"/>
  <c r="AE38" i="2"/>
  <c r="AH38" i="2" s="1"/>
  <c r="J87" i="1"/>
  <c r="W202" i="1"/>
  <c r="W201" i="1" s="1"/>
  <c r="J202" i="1"/>
  <c r="P202" i="1"/>
  <c r="P201" i="1" s="1"/>
  <c r="AG202" i="1"/>
  <c r="H202" i="1"/>
  <c r="H201" i="1" s="1"/>
  <c r="AC203" i="1"/>
  <c r="Z202" i="1"/>
  <c r="AD202" i="1"/>
  <c r="AD201" i="1" s="1"/>
  <c r="J113" i="1"/>
  <c r="B71" i="5"/>
  <c r="D6" i="16" s="1"/>
  <c r="Q38" i="2"/>
  <c r="R38" i="2" s="1"/>
  <c r="S38" i="2" s="1"/>
  <c r="X38" i="2"/>
  <c r="Q39" i="2"/>
  <c r="R39" i="2" s="1"/>
  <c r="S39" i="2" s="1"/>
  <c r="X39" i="2"/>
  <c r="J39" i="2"/>
  <c r="J34" i="2"/>
  <c r="X34" i="2"/>
  <c r="Q34" i="2"/>
  <c r="R34" i="2" s="1"/>
  <c r="X37" i="2"/>
  <c r="Q37" i="2"/>
  <c r="J37" i="2"/>
  <c r="H41" i="1"/>
  <c r="J31" i="2"/>
  <c r="X31" i="2"/>
  <c r="Q31" i="2"/>
  <c r="AD41" i="1"/>
  <c r="J32" i="2"/>
  <c r="Q32" i="2"/>
  <c r="R32" i="2" s="1"/>
  <c r="S32" i="2" s="1"/>
  <c r="X32" i="2"/>
  <c r="P41" i="1"/>
  <c r="J18" i="1"/>
  <c r="J17" i="1" s="1"/>
  <c r="J16" i="1" s="1"/>
  <c r="J101" i="1"/>
  <c r="J100" i="1" s="1"/>
  <c r="J146" i="1"/>
  <c r="J145" i="1"/>
  <c r="H113" i="1"/>
  <c r="D44" i="5"/>
  <c r="O108" i="1"/>
  <c r="V108" i="1"/>
  <c r="H36" i="1"/>
  <c r="H35" i="1" s="1"/>
  <c r="H32" i="1" s="1"/>
  <c r="C16" i="6" s="1"/>
  <c r="B45" i="6" s="1"/>
  <c r="I45" i="6" s="1"/>
  <c r="H47" i="2"/>
  <c r="AJ34" i="1"/>
  <c r="AJ33" i="1"/>
  <c r="V34" i="1"/>
  <c r="V33" i="1"/>
  <c r="AC34" i="1"/>
  <c r="AA33" i="1"/>
  <c r="AB33" i="1" s="1"/>
  <c r="I68" i="5"/>
  <c r="I75" i="5"/>
  <c r="R151" i="2"/>
  <c r="R149" i="2"/>
  <c r="S149" i="2" s="1"/>
  <c r="R86" i="2"/>
  <c r="J137" i="1"/>
  <c r="J9" i="1" s="1"/>
  <c r="H148" i="1"/>
  <c r="J163" i="1"/>
  <c r="AA122" i="1"/>
  <c r="AB122" i="1" s="1"/>
  <c r="AH122" i="1"/>
  <c r="AI122" i="1" s="1"/>
  <c r="H163" i="1"/>
  <c r="J148" i="1"/>
  <c r="V138" i="1"/>
  <c r="T138" i="1"/>
  <c r="U138" i="1" s="1"/>
  <c r="H168" i="1"/>
  <c r="AC138" i="1"/>
  <c r="AA138" i="1"/>
  <c r="AB138" i="1" s="1"/>
  <c r="AH138" i="1"/>
  <c r="AI138" i="1" s="1"/>
  <c r="H143" i="1"/>
  <c r="J168" i="1"/>
  <c r="V122" i="1"/>
  <c r="T122" i="1"/>
  <c r="U122" i="1" s="1"/>
  <c r="H77" i="1"/>
  <c r="H76" i="1" s="1"/>
  <c r="J199" i="1"/>
  <c r="J77" i="1"/>
  <c r="J76" i="1" s="1"/>
  <c r="W77" i="1"/>
  <c r="W76" i="1" s="1"/>
  <c r="AG77" i="1"/>
  <c r="AC78" i="1"/>
  <c r="Z77" i="1"/>
  <c r="Z76" i="1" s="1"/>
  <c r="AD77" i="1"/>
  <c r="AD76" i="1" s="1"/>
  <c r="V78" i="1"/>
  <c r="S77" i="1"/>
  <c r="V77" i="1" s="1"/>
  <c r="J82" i="1"/>
  <c r="AA114" i="1"/>
  <c r="AB114" i="1" s="1"/>
  <c r="AH114" i="1"/>
  <c r="AI114" i="1" s="1"/>
  <c r="V114" i="1"/>
  <c r="T114" i="1"/>
  <c r="U114" i="1" s="1"/>
  <c r="R119" i="2"/>
  <c r="J121" i="1"/>
  <c r="J120" i="1" s="1"/>
  <c r="AG207" i="1"/>
  <c r="AH112" i="1"/>
  <c r="AI112" i="1" s="1"/>
  <c r="V112" i="1"/>
  <c r="T112" i="1"/>
  <c r="U112" i="1" s="1"/>
  <c r="AC112" i="1"/>
  <c r="AA112" i="1"/>
  <c r="AB112" i="1" s="1"/>
  <c r="R7" i="2"/>
  <c r="R107" i="2"/>
  <c r="S107" i="2" s="1"/>
  <c r="R14" i="2"/>
  <c r="R47" i="2"/>
  <c r="S47" i="2" s="1"/>
  <c r="J110" i="1"/>
  <c r="J45" i="1"/>
  <c r="J51" i="1"/>
  <c r="J43" i="1"/>
  <c r="J50" i="1"/>
  <c r="H190" i="1"/>
  <c r="H207" i="1"/>
  <c r="C24" i="6" s="1"/>
  <c r="B53" i="6" s="1"/>
  <c r="I53" i="6" s="1"/>
  <c r="W207" i="1"/>
  <c r="P24" i="6" s="1"/>
  <c r="J128" i="1"/>
  <c r="S207" i="1"/>
  <c r="V207" i="1" s="1"/>
  <c r="W190" i="1"/>
  <c r="P190" i="1"/>
  <c r="Z190" i="1"/>
  <c r="AD190" i="1"/>
  <c r="J190" i="1"/>
  <c r="AJ191" i="1"/>
  <c r="AG190" i="1"/>
  <c r="AJ190" i="1" s="1"/>
  <c r="Y47" i="2"/>
  <c r="Z47" i="2" s="1"/>
  <c r="AF47" i="2"/>
  <c r="AG47" i="2" s="1"/>
  <c r="K47" i="2"/>
  <c r="L47" i="2" s="1"/>
  <c r="J42" i="1"/>
  <c r="H30" i="2"/>
  <c r="J136" i="1"/>
  <c r="J37" i="1"/>
  <c r="J36" i="1" s="1"/>
  <c r="J35" i="1" s="1"/>
  <c r="J32" i="1" s="1"/>
  <c r="E16" i="6" s="1"/>
  <c r="D45" i="6" s="1"/>
  <c r="J53" i="1"/>
  <c r="J52" i="1" s="1"/>
  <c r="J86" i="1"/>
  <c r="J94" i="1"/>
  <c r="J91" i="1" s="1"/>
  <c r="J139" i="1"/>
  <c r="J174" i="1"/>
  <c r="J66" i="1"/>
  <c r="J65" i="1" s="1"/>
  <c r="J186" i="1"/>
  <c r="H149" i="2"/>
  <c r="J212" i="1"/>
  <c r="J211" i="1" s="1"/>
  <c r="E25" i="6" s="1"/>
  <c r="D54" i="6" s="1"/>
  <c r="J214" i="1"/>
  <c r="J213" i="1" s="1"/>
  <c r="E26" i="6" s="1"/>
  <c r="D55" i="6" s="1"/>
  <c r="AF109" i="2"/>
  <c r="AG109" i="2" s="1"/>
  <c r="H159" i="1"/>
  <c r="H157" i="1" s="1"/>
  <c r="J180" i="1"/>
  <c r="J24" i="1"/>
  <c r="J28" i="1"/>
  <c r="J67" i="1"/>
  <c r="J129" i="1"/>
  <c r="J208" i="1"/>
  <c r="J195" i="1"/>
  <c r="H68" i="1"/>
  <c r="H67" i="1" s="1"/>
  <c r="AG121" i="1"/>
  <c r="AG120" i="1" s="1"/>
  <c r="W129" i="1"/>
  <c r="W127" i="1" s="1"/>
  <c r="AD129" i="1"/>
  <c r="AD127" i="1" s="1"/>
  <c r="AC100" i="1"/>
  <c r="AG72" i="1"/>
  <c r="AJ72" i="1" s="1"/>
  <c r="H156" i="1"/>
  <c r="H154" i="1" s="1"/>
  <c r="AF107" i="2"/>
  <c r="AG107" i="2" s="1"/>
  <c r="H174" i="1"/>
  <c r="D42" i="5"/>
  <c r="D41" i="5"/>
  <c r="G38" i="5"/>
  <c r="M36" i="5"/>
  <c r="M32" i="5"/>
  <c r="K38" i="5"/>
  <c r="K42" i="5"/>
  <c r="C40" i="5"/>
  <c r="Z154" i="1"/>
  <c r="AC154" i="1" s="1"/>
  <c r="H107" i="2"/>
  <c r="AH26" i="1"/>
  <c r="AI26" i="1" s="1"/>
  <c r="H186" i="1"/>
  <c r="H139" i="1"/>
  <c r="AA187" i="1"/>
  <c r="AB187" i="1" s="1"/>
  <c r="AA167" i="1"/>
  <c r="AB167" i="1" s="1"/>
  <c r="T176" i="1"/>
  <c r="U176" i="1" s="1"/>
  <c r="D14" i="5"/>
  <c r="D70" i="5" s="1"/>
  <c r="H86" i="2"/>
  <c r="H49" i="1"/>
  <c r="AH199" i="1"/>
  <c r="AI199" i="1" s="1"/>
  <c r="H72" i="2"/>
  <c r="I22" i="5"/>
  <c r="H85" i="1"/>
  <c r="H84" i="1" s="1"/>
  <c r="AH93" i="1"/>
  <c r="AI93" i="1" s="1"/>
  <c r="AA161" i="1"/>
  <c r="AB161" i="1" s="1"/>
  <c r="H26" i="2"/>
  <c r="D19" i="5"/>
  <c r="D75" i="5" s="1"/>
  <c r="D16" i="6"/>
  <c r="C45" i="6" s="1"/>
  <c r="T165" i="1"/>
  <c r="U165" i="1" s="1"/>
  <c r="C21" i="5"/>
  <c r="D27" i="5"/>
  <c r="I29" i="5"/>
  <c r="D32" i="5"/>
  <c r="D34" i="5"/>
  <c r="D36" i="5"/>
  <c r="B40" i="5"/>
  <c r="H17" i="1"/>
  <c r="H16" i="1" s="1"/>
  <c r="T178" i="1"/>
  <c r="U178" i="1" s="1"/>
  <c r="H14" i="2"/>
  <c r="D13" i="5"/>
  <c r="D69" i="5" s="1"/>
  <c r="D15" i="5"/>
  <c r="D71" i="5" s="1"/>
  <c r="D22" i="5"/>
  <c r="D35" i="5"/>
  <c r="H94" i="1"/>
  <c r="H91" i="1" s="1"/>
  <c r="I28" i="5"/>
  <c r="D25" i="5"/>
  <c r="K25" i="5"/>
  <c r="H28" i="1"/>
  <c r="AH87" i="1"/>
  <c r="AI87" i="1" s="1"/>
  <c r="AH152" i="1"/>
  <c r="AI152" i="1" s="1"/>
  <c r="H180" i="1"/>
  <c r="D24" i="5"/>
  <c r="D29" i="5"/>
  <c r="K28" i="5"/>
  <c r="D39" i="5"/>
  <c r="T135" i="1"/>
  <c r="U135" i="1" s="1"/>
  <c r="G28" i="5"/>
  <c r="AA130" i="1"/>
  <c r="AB130" i="1" s="1"/>
  <c r="D33" i="5"/>
  <c r="AH22" i="1"/>
  <c r="AI22" i="1" s="1"/>
  <c r="AA31" i="1"/>
  <c r="AB31" i="1" s="1"/>
  <c r="AH86" i="1"/>
  <c r="AI86" i="1" s="1"/>
  <c r="AA108" i="1"/>
  <c r="AB108" i="1" s="1"/>
  <c r="AA109" i="1"/>
  <c r="AB109" i="1" s="1"/>
  <c r="H133" i="1"/>
  <c r="H132" i="1" s="1"/>
  <c r="AA135" i="1"/>
  <c r="AB135" i="1" s="1"/>
  <c r="D28" i="5"/>
  <c r="AH79" i="1"/>
  <c r="AI79" i="1" s="1"/>
  <c r="H81" i="1"/>
  <c r="T90" i="1"/>
  <c r="U90" i="1" s="1"/>
  <c r="AH90" i="1"/>
  <c r="AI90" i="1" s="1"/>
  <c r="AA137" i="1"/>
  <c r="AB137" i="1" s="1"/>
  <c r="T145" i="1"/>
  <c r="U145" i="1" s="1"/>
  <c r="T155" i="1"/>
  <c r="U155" i="1" s="1"/>
  <c r="H24" i="1"/>
  <c r="T31" i="1"/>
  <c r="U31" i="1" s="1"/>
  <c r="AA55" i="1"/>
  <c r="AB55" i="1" s="1"/>
  <c r="H58" i="1"/>
  <c r="AH19" i="1"/>
  <c r="AI19" i="1" s="1"/>
  <c r="AH70" i="1"/>
  <c r="AI70" i="1" s="1"/>
  <c r="AH71" i="1"/>
  <c r="AI71" i="1" s="1"/>
  <c r="H110" i="1"/>
  <c r="AH31" i="1"/>
  <c r="AI31" i="1" s="1"/>
  <c r="H53" i="1"/>
  <c r="H52" i="1" s="1"/>
  <c r="AA90" i="1"/>
  <c r="AB90" i="1" s="1"/>
  <c r="H121" i="1"/>
  <c r="H120" i="1" s="1"/>
  <c r="AH135" i="1"/>
  <c r="AI135" i="1" s="1"/>
  <c r="AA147" i="1"/>
  <c r="AB147" i="1" s="1"/>
  <c r="AH162" i="1"/>
  <c r="AI162" i="1" s="1"/>
  <c r="AA181" i="1"/>
  <c r="AB181" i="1" s="1"/>
  <c r="H195" i="1"/>
  <c r="T208" i="1"/>
  <c r="U208" i="1" s="1"/>
  <c r="AH69" i="1"/>
  <c r="AI69" i="1" s="1"/>
  <c r="AD94" i="1"/>
  <c r="AD195" i="1"/>
  <c r="AA21" i="1"/>
  <c r="AB21" i="1" s="1"/>
  <c r="AA59" i="1"/>
  <c r="AB59" i="1" s="1"/>
  <c r="T95" i="1"/>
  <c r="U95" i="1" s="1"/>
  <c r="AH95" i="1"/>
  <c r="AI95" i="1" s="1"/>
  <c r="M137" i="1"/>
  <c r="N137" i="1" s="1"/>
  <c r="T137" i="1"/>
  <c r="U137" i="1" s="1"/>
  <c r="M8" i="2"/>
  <c r="K8" i="2"/>
  <c r="AH20" i="1"/>
  <c r="AI20" i="1" s="1"/>
  <c r="AA22" i="1"/>
  <c r="AB22" i="1" s="1"/>
  <c r="AH88" i="1"/>
  <c r="AI88" i="1" s="1"/>
  <c r="AH111" i="1"/>
  <c r="AI111" i="1" s="1"/>
  <c r="H129" i="1"/>
  <c r="H127" i="1" s="1"/>
  <c r="M135" i="1"/>
  <c r="N135" i="1" s="1"/>
  <c r="AA191" i="1"/>
  <c r="AB191" i="1" s="1"/>
  <c r="T8" i="2"/>
  <c r="S8" i="2"/>
  <c r="AA18" i="1"/>
  <c r="AB18" i="1" s="1"/>
  <c r="AA19" i="1"/>
  <c r="AB19" i="1" s="1"/>
  <c r="AH21" i="1"/>
  <c r="AI21" i="1" s="1"/>
  <c r="AH25" i="1"/>
  <c r="AI25" i="1" s="1"/>
  <c r="T30" i="1"/>
  <c r="U30" i="1" s="1"/>
  <c r="AA70" i="1"/>
  <c r="AB70" i="1" s="1"/>
  <c r="AH75" i="1"/>
  <c r="AI75" i="1" s="1"/>
  <c r="AH78" i="1"/>
  <c r="AI78" i="1" s="1"/>
  <c r="AA89" i="1"/>
  <c r="AB89" i="1" s="1"/>
  <c r="AA95" i="1"/>
  <c r="AB95" i="1" s="1"/>
  <c r="AA128" i="1"/>
  <c r="AB128" i="1" s="1"/>
  <c r="AA131" i="1"/>
  <c r="AB131" i="1" s="1"/>
  <c r="AH134" i="1"/>
  <c r="AI134" i="1" s="1"/>
  <c r="AA8" i="2"/>
  <c r="Y8" i="2"/>
  <c r="Z8" i="2" s="1"/>
  <c r="AH18" i="1"/>
  <c r="AI18" i="1" s="1"/>
  <c r="AA20" i="1"/>
  <c r="AB20" i="1" s="1"/>
  <c r="AH27" i="1"/>
  <c r="AI27" i="1" s="1"/>
  <c r="AA38" i="1"/>
  <c r="AB38" i="1" s="1"/>
  <c r="AA54" i="1"/>
  <c r="AB54" i="1" s="1"/>
  <c r="T96" i="1"/>
  <c r="U96" i="1" s="1"/>
  <c r="AH101" i="1"/>
  <c r="AI101" i="1" s="1"/>
  <c r="T125" i="1"/>
  <c r="U125" i="1" s="1"/>
  <c r="AA141" i="1"/>
  <c r="AB141" i="1" s="1"/>
  <c r="AA196" i="1"/>
  <c r="AB196" i="1" s="1"/>
  <c r="T152" i="1"/>
  <c r="U152" i="1" s="1"/>
  <c r="AA170" i="1"/>
  <c r="AB170" i="1" s="1"/>
  <c r="AA176" i="1"/>
  <c r="AB176" i="1" s="1"/>
  <c r="AA192" i="1"/>
  <c r="AB192" i="1" s="1"/>
  <c r="T194" i="1"/>
  <c r="U194" i="1" s="1"/>
  <c r="T34" i="1"/>
  <c r="U34" i="1" s="1"/>
  <c r="Y107" i="2"/>
  <c r="Z107" i="2" s="1"/>
  <c r="H109" i="2"/>
  <c r="J159" i="1" s="1"/>
  <c r="J157" i="1" s="1"/>
  <c r="M18" i="5"/>
  <c r="G29" i="5"/>
  <c r="K29" i="5"/>
  <c r="AH169" i="1"/>
  <c r="AI169" i="1" s="1"/>
  <c r="AA204" i="1"/>
  <c r="AB204" i="1" s="1"/>
  <c r="M29" i="5"/>
  <c r="T103" i="1"/>
  <c r="U103" i="1" s="1"/>
  <c r="T108" i="1"/>
  <c r="U108" i="1" s="1"/>
  <c r="T109" i="1"/>
  <c r="U109" i="1" s="1"/>
  <c r="AH115" i="1"/>
  <c r="AI115" i="1" s="1"/>
  <c r="AH131" i="1"/>
  <c r="AI131" i="1" s="1"/>
  <c r="AH137" i="1"/>
  <c r="AI137" i="1" s="1"/>
  <c r="AA140" i="1"/>
  <c r="AB140" i="1" s="1"/>
  <c r="AH161" i="1"/>
  <c r="AI161" i="1" s="1"/>
  <c r="AH170" i="1"/>
  <c r="AI170" i="1" s="1"/>
  <c r="AH181" i="1"/>
  <c r="AI181" i="1" s="1"/>
  <c r="AH187" i="1"/>
  <c r="AI187" i="1" s="1"/>
  <c r="T192" i="1"/>
  <c r="U192" i="1" s="1"/>
  <c r="AA194" i="1"/>
  <c r="AB194" i="1" s="1"/>
  <c r="AA199" i="1"/>
  <c r="AB199" i="1" s="1"/>
  <c r="AH203" i="1"/>
  <c r="AI203" i="1" s="1"/>
  <c r="T214" i="1"/>
  <c r="U214" i="1" s="1"/>
  <c r="M165" i="1"/>
  <c r="N165" i="1" s="1"/>
  <c r="AA177" i="1"/>
  <c r="AB177" i="1" s="1"/>
  <c r="B23" i="5"/>
  <c r="M27" i="5"/>
  <c r="T60" i="1"/>
  <c r="U60" i="1" s="1"/>
  <c r="AF149" i="2"/>
  <c r="AG149" i="2" s="1"/>
  <c r="W121" i="1"/>
  <c r="W120" i="1" s="1"/>
  <c r="Z53" i="1"/>
  <c r="AC53" i="1" s="1"/>
  <c r="P58" i="1"/>
  <c r="P110" i="1"/>
  <c r="D31" i="5"/>
  <c r="AD92" i="1"/>
  <c r="P53" i="1"/>
  <c r="P52" i="1" s="1"/>
  <c r="S124" i="1"/>
  <c r="P212" i="1"/>
  <c r="P211" i="1" s="1"/>
  <c r="K25" i="6" s="1"/>
  <c r="AD58" i="1"/>
  <c r="AD139" i="1"/>
  <c r="T188" i="1"/>
  <c r="U188" i="1" s="1"/>
  <c r="AC192" i="1"/>
  <c r="AC59" i="1"/>
  <c r="AC95" i="1"/>
  <c r="W110" i="1"/>
  <c r="AD186" i="1"/>
  <c r="P85" i="1"/>
  <c r="P84" i="1" s="1"/>
  <c r="AC22" i="1"/>
  <c r="AC131" i="1"/>
  <c r="T149" i="1"/>
  <c r="U149" i="1" s="1"/>
  <c r="AC128" i="1"/>
  <c r="T150" i="1"/>
  <c r="U150" i="1" s="1"/>
  <c r="AD180" i="1"/>
  <c r="AC187" i="1"/>
  <c r="AC191" i="1"/>
  <c r="AC21" i="1"/>
  <c r="AD85" i="1"/>
  <c r="AD84" i="1" s="1"/>
  <c r="AC141" i="1"/>
  <c r="L149" i="1"/>
  <c r="M149" i="1" s="1"/>
  <c r="AD49" i="1"/>
  <c r="W68" i="1"/>
  <c r="W67" i="1" s="1"/>
  <c r="AD121" i="1"/>
  <c r="AD120" i="1" s="1"/>
  <c r="W168" i="1"/>
  <c r="AJ137" i="1"/>
  <c r="AA29" i="1"/>
  <c r="AB29" i="1" s="1"/>
  <c r="AJ82" i="1"/>
  <c r="AC20" i="1"/>
  <c r="AC18" i="1"/>
  <c r="W28" i="1"/>
  <c r="P92" i="1"/>
  <c r="W113" i="1"/>
  <c r="AC140" i="1"/>
  <c r="W139" i="1"/>
  <c r="AC194" i="1"/>
  <c r="W195" i="1"/>
  <c r="AB86" i="2"/>
  <c r="P157" i="1"/>
  <c r="S148" i="1"/>
  <c r="V148" i="1" s="1"/>
  <c r="AD157" i="1"/>
  <c r="P186" i="1"/>
  <c r="P49" i="1"/>
  <c r="W92" i="1"/>
  <c r="AA46" i="1"/>
  <c r="AB46" i="1" s="1"/>
  <c r="T86" i="1"/>
  <c r="U86" i="1" s="1"/>
  <c r="AD143" i="1"/>
  <c r="W174" i="1"/>
  <c r="P139" i="1"/>
  <c r="P154" i="1"/>
  <c r="W157" i="1"/>
  <c r="AJ18" i="1"/>
  <c r="W36" i="1"/>
  <c r="W35" i="1" s="1"/>
  <c r="W32" i="1" s="1"/>
  <c r="P16" i="6" s="1"/>
  <c r="W49" i="1"/>
  <c r="AD53" i="1"/>
  <c r="AD52" i="1" s="1"/>
  <c r="W53" i="1"/>
  <c r="W52" i="1" s="1"/>
  <c r="W58" i="1"/>
  <c r="AD68" i="1"/>
  <c r="AD67" i="1" s="1"/>
  <c r="AJ95" i="1"/>
  <c r="W148" i="1"/>
  <c r="AA152" i="1"/>
  <c r="AB152" i="1" s="1"/>
  <c r="S154" i="1"/>
  <c r="V154" i="1" s="1"/>
  <c r="W186" i="1"/>
  <c r="AC199" i="1"/>
  <c r="Z211" i="1"/>
  <c r="Q25" i="6" s="1"/>
  <c r="Z213" i="1"/>
  <c r="AA213" i="1" s="1"/>
  <c r="AF8" i="2"/>
  <c r="AG8" i="2" s="1"/>
  <c r="L28" i="5"/>
  <c r="M28" i="5" s="1"/>
  <c r="AJ115" i="1"/>
  <c r="AJ27" i="1"/>
  <c r="AJ90" i="1"/>
  <c r="AJ22" i="1"/>
  <c r="AG65" i="1"/>
  <c r="AJ169" i="1"/>
  <c r="AJ20" i="1"/>
  <c r="AJ152" i="1"/>
  <c r="AJ203" i="1"/>
  <c r="AG17" i="1"/>
  <c r="AH194" i="1"/>
  <c r="AI194" i="1" s="1"/>
  <c r="AJ199" i="1"/>
  <c r="AJ93" i="1"/>
  <c r="AG124" i="1"/>
  <c r="AJ124" i="1" s="1"/>
  <c r="AG154" i="1"/>
  <c r="AJ154" i="1" s="1"/>
  <c r="AH149" i="2"/>
  <c r="AJ181" i="1"/>
  <c r="AH176" i="1"/>
  <c r="AI176" i="1" s="1"/>
  <c r="AH175" i="1"/>
  <c r="AI175" i="1" s="1"/>
  <c r="AJ187" i="1"/>
  <c r="AH145" i="1"/>
  <c r="AI145" i="1" s="1"/>
  <c r="AJ159" i="1"/>
  <c r="AJ162" i="1"/>
  <c r="AH147" i="1"/>
  <c r="AI147" i="1" s="1"/>
  <c r="AJ170" i="1"/>
  <c r="AH144" i="1"/>
  <c r="AI144" i="1" s="1"/>
  <c r="AJ161" i="1"/>
  <c r="AJ131" i="1"/>
  <c r="AJ134" i="1"/>
  <c r="AH109" i="1"/>
  <c r="AI109" i="1" s="1"/>
  <c r="AJ112" i="1"/>
  <c r="AJ83" i="1"/>
  <c r="AH100" i="1"/>
  <c r="AI100" i="1" s="1"/>
  <c r="AH66" i="1"/>
  <c r="AI66" i="1" s="1"/>
  <c r="AJ70" i="1"/>
  <c r="AJ69" i="1"/>
  <c r="AJ71" i="1"/>
  <c r="AH46" i="1"/>
  <c r="AI46" i="1" s="1"/>
  <c r="AH55" i="1"/>
  <c r="AI55" i="1" s="1"/>
  <c r="AH59" i="1"/>
  <c r="AI59" i="1" s="1"/>
  <c r="AH47" i="1"/>
  <c r="AI47" i="1" s="1"/>
  <c r="AG56" i="1"/>
  <c r="AJ56" i="1" s="1"/>
  <c r="AJ19" i="1"/>
  <c r="AJ21" i="1"/>
  <c r="AD163" i="1"/>
  <c r="AD168" i="1"/>
  <c r="AD110" i="1"/>
  <c r="AD113" i="1"/>
  <c r="AD36" i="1"/>
  <c r="AD35" i="1" s="1"/>
  <c r="AD32" i="1" s="1"/>
  <c r="U16" i="6" s="1"/>
  <c r="AD28" i="1"/>
  <c r="AD24" i="1"/>
  <c r="AA214" i="1"/>
  <c r="AB214" i="1" s="1"/>
  <c r="AA209" i="1"/>
  <c r="AB209" i="1" s="1"/>
  <c r="AC176" i="1"/>
  <c r="AC196" i="1"/>
  <c r="AA203" i="1"/>
  <c r="AB203" i="1" s="1"/>
  <c r="AC181" i="1"/>
  <c r="AC161" i="1"/>
  <c r="AC147" i="1"/>
  <c r="AC159" i="1"/>
  <c r="Z166" i="1"/>
  <c r="AC167" i="1"/>
  <c r="AC170" i="1"/>
  <c r="Z139" i="1"/>
  <c r="AA134" i="1"/>
  <c r="AB134" i="1" s="1"/>
  <c r="AC130" i="1"/>
  <c r="Z129" i="1"/>
  <c r="AC108" i="1"/>
  <c r="AA125" i="1"/>
  <c r="AB125" i="1" s="1"/>
  <c r="AC109" i="1"/>
  <c r="AA115" i="1"/>
  <c r="AB115" i="1" s="1"/>
  <c r="Z124" i="1"/>
  <c r="AC81" i="1"/>
  <c r="AA88" i="1"/>
  <c r="AB88" i="1" s="1"/>
  <c r="AC89" i="1"/>
  <c r="AC90" i="1"/>
  <c r="AC104" i="1"/>
  <c r="AC92" i="1"/>
  <c r="AA71" i="1"/>
  <c r="AB71" i="1" s="1"/>
  <c r="AA69" i="1"/>
  <c r="AB69" i="1" s="1"/>
  <c r="AC70" i="1"/>
  <c r="Z56" i="1"/>
  <c r="AC56" i="1" s="1"/>
  <c r="AA47" i="1"/>
  <c r="AB47" i="1" s="1"/>
  <c r="Z17" i="1"/>
  <c r="Z16" i="1" s="1"/>
  <c r="AC19" i="1"/>
  <c r="W180" i="1"/>
  <c r="W154" i="1"/>
  <c r="W94" i="1"/>
  <c r="W17" i="1"/>
  <c r="W16" i="1" s="1"/>
  <c r="S213" i="1"/>
  <c r="V213" i="1" s="1"/>
  <c r="S211" i="1"/>
  <c r="V211" i="1" s="1"/>
  <c r="T146" i="1"/>
  <c r="U146" i="1" s="1"/>
  <c r="T151" i="1"/>
  <c r="U151" i="1" s="1"/>
  <c r="T147" i="1"/>
  <c r="U147" i="1" s="1"/>
  <c r="S110" i="1"/>
  <c r="T111" i="1"/>
  <c r="U111" i="1" s="1"/>
  <c r="T116" i="1"/>
  <c r="U116" i="1" s="1"/>
  <c r="T115" i="1"/>
  <c r="U115" i="1" s="1"/>
  <c r="T88" i="1"/>
  <c r="U88" i="1" s="1"/>
  <c r="T71" i="1"/>
  <c r="U71" i="1" s="1"/>
  <c r="L79" i="1"/>
  <c r="M79" i="1" s="1"/>
  <c r="L147" i="1"/>
  <c r="L22" i="1"/>
  <c r="M22" i="1" s="1"/>
  <c r="L199" i="1"/>
  <c r="O199" i="1" s="1"/>
  <c r="O73" i="1"/>
  <c r="L72" i="1"/>
  <c r="O72" i="1" s="1"/>
  <c r="O103" i="1"/>
  <c r="K17" i="2"/>
  <c r="K144" i="2"/>
  <c r="L20" i="1"/>
  <c r="L206" i="1"/>
  <c r="S19" i="1"/>
  <c r="V19" i="1" s="1"/>
  <c r="S21" i="1"/>
  <c r="V21" i="1" s="1"/>
  <c r="S38" i="1"/>
  <c r="V38" i="1" s="1"/>
  <c r="S22" i="1"/>
  <c r="V22" i="1" s="1"/>
  <c r="S19" i="2"/>
  <c r="S57" i="1"/>
  <c r="V57" i="1" s="1"/>
  <c r="T16" i="2"/>
  <c r="P174" i="1"/>
  <c r="L138" i="1"/>
  <c r="O165" i="1"/>
  <c r="L203" i="1"/>
  <c r="S18" i="2"/>
  <c r="K19" i="2"/>
  <c r="T29" i="2"/>
  <c r="M69" i="2"/>
  <c r="P24" i="1"/>
  <c r="S29" i="1"/>
  <c r="V29" i="1" s="1"/>
  <c r="N56" i="2"/>
  <c r="M139" i="2"/>
  <c r="P81" i="1"/>
  <c r="S55" i="1"/>
  <c r="V55" i="1" s="1"/>
  <c r="M88" i="1"/>
  <c r="P180" i="1"/>
  <c r="S23" i="2"/>
  <c r="K61" i="2"/>
  <c r="P113" i="1"/>
  <c r="M94" i="2"/>
  <c r="M99" i="2"/>
  <c r="L145" i="1"/>
  <c r="O145" i="1" s="1"/>
  <c r="K99" i="2"/>
  <c r="N151" i="2"/>
  <c r="P214" i="1"/>
  <c r="P213" i="1" s="1"/>
  <c r="K26" i="6" s="1"/>
  <c r="P28" i="1"/>
  <c r="P36" i="1"/>
  <c r="P35" i="1" s="1"/>
  <c r="P94" i="1"/>
  <c r="S27" i="2"/>
  <c r="T27" i="2"/>
  <c r="K138" i="2"/>
  <c r="L198" i="1"/>
  <c r="M138" i="2"/>
  <c r="N72" i="2"/>
  <c r="P108" i="1"/>
  <c r="P208" i="1"/>
  <c r="P8" i="1" s="1"/>
  <c r="M87" i="1"/>
  <c r="N87" i="1" s="1"/>
  <c r="O87" i="1"/>
  <c r="M60" i="2"/>
  <c r="O96" i="1"/>
  <c r="K65" i="2"/>
  <c r="M65" i="2"/>
  <c r="L156" i="1"/>
  <c r="K107" i="2"/>
  <c r="M107" i="2"/>
  <c r="P195" i="1"/>
  <c r="S28" i="2"/>
  <c r="T28" i="2"/>
  <c r="K59" i="2"/>
  <c r="M59" i="2"/>
  <c r="T17" i="2"/>
  <c r="S17" i="2"/>
  <c r="F34" i="5"/>
  <c r="G34" i="5" s="1"/>
  <c r="G12" i="5"/>
  <c r="M68" i="2"/>
  <c r="K68" i="2"/>
  <c r="P121" i="1"/>
  <c r="P120" i="1" s="1"/>
  <c r="N119" i="2"/>
  <c r="N26" i="2"/>
  <c r="P148" i="1"/>
  <c r="P68" i="1"/>
  <c r="P67" i="1" s="1"/>
  <c r="P168" i="1"/>
  <c r="P129" i="1"/>
  <c r="P127" i="1" s="1"/>
  <c r="M101" i="2"/>
  <c r="K141" i="2"/>
  <c r="M144" i="2"/>
  <c r="W24" i="1"/>
  <c r="AJ60" i="1"/>
  <c r="AG58" i="1"/>
  <c r="AC114" i="1"/>
  <c r="Z113" i="1"/>
  <c r="T128" i="1"/>
  <c r="U128" i="1" s="1"/>
  <c r="AC136" i="1"/>
  <c r="AA136" i="1"/>
  <c r="AB136" i="1" s="1"/>
  <c r="AJ149" i="1"/>
  <c r="AJ150" i="1"/>
  <c r="AH150" i="1"/>
  <c r="AI150" i="1" s="1"/>
  <c r="AJ155" i="1"/>
  <c r="AH155" i="1"/>
  <c r="AI155" i="1" s="1"/>
  <c r="T184" i="1"/>
  <c r="U184" i="1" s="1"/>
  <c r="AH184" i="1"/>
  <c r="AI184" i="1" s="1"/>
  <c r="AJ184" i="1"/>
  <c r="AC198" i="1"/>
  <c r="AA198" i="1"/>
  <c r="AB198" i="1" s="1"/>
  <c r="AJ208" i="1"/>
  <c r="AH208" i="1"/>
  <c r="AI208" i="1" s="1"/>
  <c r="T209" i="1"/>
  <c r="U209" i="1" s="1"/>
  <c r="AH211" i="1"/>
  <c r="AJ211" i="1"/>
  <c r="Y25" i="6" s="1"/>
  <c r="AH212" i="1"/>
  <c r="AI212" i="1" s="1"/>
  <c r="AJ212" i="1"/>
  <c r="AJ214" i="1"/>
  <c r="AG213" i="1"/>
  <c r="AA7" i="2"/>
  <c r="N14" i="2"/>
  <c r="P18" i="1"/>
  <c r="P17" i="1" s="1"/>
  <c r="P16" i="1" s="1"/>
  <c r="L21" i="1"/>
  <c r="AF20" i="2"/>
  <c r="AG20" i="2" s="1"/>
  <c r="AH20" i="2"/>
  <c r="AA24" i="2"/>
  <c r="Z30" i="1"/>
  <c r="Y24" i="2"/>
  <c r="Z24" i="2" s="1"/>
  <c r="AF25" i="2"/>
  <c r="AG25" i="2" s="1"/>
  <c r="AH25" i="2"/>
  <c r="S40" i="2"/>
  <c r="T40" i="2"/>
  <c r="J41" i="5"/>
  <c r="Y48" i="2"/>
  <c r="Z48" i="2" s="1"/>
  <c r="Z66" i="1"/>
  <c r="AA48" i="2"/>
  <c r="T52" i="2"/>
  <c r="S52" i="2"/>
  <c r="Y53" i="2"/>
  <c r="Z53" i="2" s="1"/>
  <c r="AA53" i="2"/>
  <c r="K43" i="5"/>
  <c r="Y54" i="2"/>
  <c r="Z54" i="2" s="1"/>
  <c r="AA54" i="2"/>
  <c r="AA56" i="2"/>
  <c r="M44" i="5"/>
  <c r="AF59" i="2"/>
  <c r="AG59" i="2" s="1"/>
  <c r="AH59" i="2"/>
  <c r="H34" i="5"/>
  <c r="I34" i="5" s="1"/>
  <c r="T68" i="2"/>
  <c r="S68" i="2"/>
  <c r="AF69" i="2"/>
  <c r="AG69" i="2" s="1"/>
  <c r="AA84" i="2"/>
  <c r="Y84" i="2"/>
  <c r="Z84" i="2" s="1"/>
  <c r="P135" i="1"/>
  <c r="P9" i="1" s="1"/>
  <c r="N86" i="2"/>
  <c r="W135" i="1"/>
  <c r="S96" i="2"/>
  <c r="T96" i="2"/>
  <c r="AF104" i="2"/>
  <c r="AG104" i="2" s="1"/>
  <c r="AH104" i="2"/>
  <c r="AG151" i="1"/>
  <c r="Y113" i="2"/>
  <c r="Z113" i="2" s="1"/>
  <c r="AA113" i="2"/>
  <c r="Z164" i="1"/>
  <c r="Y114" i="2"/>
  <c r="Z114" i="2" s="1"/>
  <c r="Z165" i="1"/>
  <c r="Y116" i="2"/>
  <c r="Z116" i="2" s="1"/>
  <c r="AA116" i="2"/>
  <c r="Z169" i="1"/>
  <c r="AB119" i="2"/>
  <c r="AD175" i="1"/>
  <c r="AD174" i="1" s="1"/>
  <c r="AA127" i="2"/>
  <c r="Y127" i="2"/>
  <c r="Z127" i="2" s="1"/>
  <c r="AA131" i="2"/>
  <c r="Y131" i="2"/>
  <c r="Z131" i="2" s="1"/>
  <c r="T132" i="2"/>
  <c r="S132" i="2"/>
  <c r="S191" i="1"/>
  <c r="AF146" i="2"/>
  <c r="AG146" i="2" s="1"/>
  <c r="M10" i="5"/>
  <c r="J23" i="5"/>
  <c r="T25" i="1"/>
  <c r="U25" i="1" s="1"/>
  <c r="AA25" i="1"/>
  <c r="AB25" i="1" s="1"/>
  <c r="AH29" i="1"/>
  <c r="AI29" i="1" s="1"/>
  <c r="AH30" i="1"/>
  <c r="AI30" i="1" s="1"/>
  <c r="AA34" i="1"/>
  <c r="AB34" i="1" s="1"/>
  <c r="AH34" i="1"/>
  <c r="AI34" i="1" s="1"/>
  <c r="M38" i="1"/>
  <c r="N38" i="1" s="1"/>
  <c r="S54" i="1"/>
  <c r="V54" i="1" s="1"/>
  <c r="AA57" i="1"/>
  <c r="AB57" i="1" s="1"/>
  <c r="AH57" i="1"/>
  <c r="AI57" i="1" s="1"/>
  <c r="AH60" i="1"/>
  <c r="AI60" i="1" s="1"/>
  <c r="S73" i="1"/>
  <c r="V73" i="1" s="1"/>
  <c r="Z75" i="1"/>
  <c r="T78" i="1"/>
  <c r="U78" i="1" s="1"/>
  <c r="AA78" i="1"/>
  <c r="AB78" i="1" s="1"/>
  <c r="T79" i="1"/>
  <c r="U79" i="1" s="1"/>
  <c r="AA79" i="1"/>
  <c r="AB79" i="1" s="1"/>
  <c r="AJ86" i="1"/>
  <c r="AJ87" i="1"/>
  <c r="AA93" i="1"/>
  <c r="AB93" i="1" s="1"/>
  <c r="S121" i="1"/>
  <c r="V121" i="1" s="1"/>
  <c r="AJ122" i="1"/>
  <c r="T123" i="1"/>
  <c r="U123" i="1" s="1"/>
  <c r="AH123" i="1"/>
  <c r="AI123" i="1" s="1"/>
  <c r="AJ123" i="1"/>
  <c r="Z133" i="1"/>
  <c r="AC149" i="1"/>
  <c r="Z148" i="1"/>
  <c r="AH149" i="1"/>
  <c r="AI149" i="1" s="1"/>
  <c r="AJ156" i="1"/>
  <c r="AC160" i="1"/>
  <c r="AA160" i="1"/>
  <c r="AB160" i="1" s="1"/>
  <c r="T167" i="1"/>
  <c r="U167" i="1" s="1"/>
  <c r="S166" i="1"/>
  <c r="V166" i="1" s="1"/>
  <c r="T171" i="1"/>
  <c r="U171" i="1" s="1"/>
  <c r="AH171" i="1"/>
  <c r="AI171" i="1" s="1"/>
  <c r="AJ171" i="1"/>
  <c r="AG168" i="1"/>
  <c r="T175" i="1"/>
  <c r="U175" i="1" s="1"/>
  <c r="T183" i="1"/>
  <c r="U183" i="1" s="1"/>
  <c r="AH183" i="1"/>
  <c r="AI183" i="1" s="1"/>
  <c r="AJ183" i="1"/>
  <c r="AA189" i="1"/>
  <c r="AB189" i="1" s="1"/>
  <c r="AC197" i="1"/>
  <c r="Z195" i="1"/>
  <c r="T206" i="1"/>
  <c r="U206" i="1" s="1"/>
  <c r="AH206" i="1"/>
  <c r="AI206" i="1" s="1"/>
  <c r="AJ206" i="1"/>
  <c r="AH214" i="1"/>
  <c r="AI214" i="1" s="1"/>
  <c r="I33" i="5"/>
  <c r="T15" i="2"/>
  <c r="S15" i="2"/>
  <c r="K18" i="2"/>
  <c r="AA20" i="2"/>
  <c r="Y22" i="2"/>
  <c r="Z22" i="2" s="1"/>
  <c r="AA22" i="2"/>
  <c r="AF29" i="2"/>
  <c r="AG29" i="2" s="1"/>
  <c r="AG38" i="1"/>
  <c r="AG36" i="1" s="1"/>
  <c r="W42" i="1"/>
  <c r="W41" i="1" s="1"/>
  <c r="H25" i="5"/>
  <c r="I25" i="5" s="1"/>
  <c r="H15" i="5"/>
  <c r="I15" i="5" s="1"/>
  <c r="M26" i="5"/>
  <c r="M17" i="5"/>
  <c r="AH45" i="2"/>
  <c r="AF45" i="2"/>
  <c r="AG45" i="2" s="1"/>
  <c r="H41" i="5"/>
  <c r="T48" i="2"/>
  <c r="S50" i="2"/>
  <c r="T50" i="2"/>
  <c r="P78" i="1"/>
  <c r="W85" i="1"/>
  <c r="W84" i="1" s="1"/>
  <c r="T63" i="2"/>
  <c r="AF65" i="2"/>
  <c r="AG65" i="2" s="1"/>
  <c r="AH65" i="2"/>
  <c r="AH69" i="2"/>
  <c r="AB72" i="2"/>
  <c r="AD108" i="1"/>
  <c r="AH75" i="2"/>
  <c r="AF75" i="2"/>
  <c r="AG75" i="2" s="1"/>
  <c r="M77" i="2"/>
  <c r="AH88" i="2"/>
  <c r="AF88" i="2"/>
  <c r="AG88" i="2" s="1"/>
  <c r="AG130" i="1"/>
  <c r="S89" i="2"/>
  <c r="T89" i="2"/>
  <c r="S131" i="1"/>
  <c r="V131" i="1" s="1"/>
  <c r="Y99" i="2"/>
  <c r="Z99" i="2" s="1"/>
  <c r="AA99" i="2"/>
  <c r="Z145" i="1"/>
  <c r="Y112" i="2"/>
  <c r="Z112" i="2" s="1"/>
  <c r="AA112" i="2"/>
  <c r="Z162" i="1"/>
  <c r="P163" i="1"/>
  <c r="AA114" i="2"/>
  <c r="T124" i="2"/>
  <c r="S124" i="2"/>
  <c r="S179" i="1"/>
  <c r="V179" i="1" s="1"/>
  <c r="AF124" i="2"/>
  <c r="AG124" i="2" s="1"/>
  <c r="L15" i="5"/>
  <c r="AH124" i="2"/>
  <c r="AG179" i="1"/>
  <c r="AA126" i="2"/>
  <c r="Z182" i="1"/>
  <c r="Y126" i="2"/>
  <c r="Z126" i="2" s="1"/>
  <c r="AH146" i="2"/>
  <c r="Y150" i="2"/>
  <c r="Z150" i="2" s="1"/>
  <c r="J32" i="5"/>
  <c r="K32" i="5" s="1"/>
  <c r="AA150" i="2"/>
  <c r="L23" i="5"/>
  <c r="AD18" i="1"/>
  <c r="AD17" i="1" s="1"/>
  <c r="AD16" i="1" s="1"/>
  <c r="AC25" i="1"/>
  <c r="AJ25" i="1"/>
  <c r="T26" i="1"/>
  <c r="U26" i="1" s="1"/>
  <c r="AA26" i="1"/>
  <c r="AB26" i="1" s="1"/>
  <c r="Z27" i="1"/>
  <c r="P34" i="1"/>
  <c r="P33" i="1" s="1"/>
  <c r="T37" i="1"/>
  <c r="U37" i="1" s="1"/>
  <c r="AH37" i="1"/>
  <c r="AI37" i="1" s="1"/>
  <c r="AC38" i="1"/>
  <c r="S59" i="1"/>
  <c r="V59" i="1" s="1"/>
  <c r="S70" i="1"/>
  <c r="V70" i="1" s="1"/>
  <c r="M73" i="1"/>
  <c r="N73" i="1" s="1"/>
  <c r="AH73" i="1"/>
  <c r="AI73" i="1" s="1"/>
  <c r="S74" i="1"/>
  <c r="V74" i="1" s="1"/>
  <c r="AG74" i="1"/>
  <c r="T75" i="1"/>
  <c r="U75" i="1" s="1"/>
  <c r="AJ78" i="1"/>
  <c r="AJ79" i="1"/>
  <c r="W82" i="1"/>
  <c r="W81" i="1" s="1"/>
  <c r="AD82" i="1"/>
  <c r="AD81" i="1" s="1"/>
  <c r="AA86" i="1"/>
  <c r="AB86" i="1" s="1"/>
  <c r="AA87" i="1"/>
  <c r="AB87" i="1" s="1"/>
  <c r="AJ101" i="1"/>
  <c r="AG110" i="1"/>
  <c r="AJ111" i="1"/>
  <c r="AG113" i="1"/>
  <c r="AJ114" i="1"/>
  <c r="AJ128" i="1"/>
  <c r="AH128" i="1"/>
  <c r="AI128" i="1" s="1"/>
  <c r="AD133" i="1"/>
  <c r="AD132" i="1" s="1"/>
  <c r="T136" i="1"/>
  <c r="U136" i="1" s="1"/>
  <c r="AJ138" i="1"/>
  <c r="AJ140" i="1"/>
  <c r="AG139" i="1"/>
  <c r="AJ141" i="1"/>
  <c r="AH141" i="1"/>
  <c r="AI141" i="1" s="1"/>
  <c r="W145" i="1"/>
  <c r="W143" i="1" s="1"/>
  <c r="AA149" i="1"/>
  <c r="AB149" i="1" s="1"/>
  <c r="AC150" i="1"/>
  <c r="AA150" i="1"/>
  <c r="AB150" i="1" s="1"/>
  <c r="M151" i="1"/>
  <c r="O151" i="1"/>
  <c r="AC155" i="1"/>
  <c r="AA155" i="1"/>
  <c r="AB155" i="1" s="1"/>
  <c r="AJ167" i="1"/>
  <c r="AG166" i="1"/>
  <c r="AH167" i="1"/>
  <c r="AI167" i="1" s="1"/>
  <c r="Z183" i="1"/>
  <c r="AC184" i="1"/>
  <c r="AA184" i="1"/>
  <c r="AB184" i="1" s="1"/>
  <c r="S186" i="1"/>
  <c r="T189" i="1"/>
  <c r="U189" i="1" s="1"/>
  <c r="AH189" i="1"/>
  <c r="AI189" i="1" s="1"/>
  <c r="AJ189" i="1"/>
  <c r="AA197" i="1"/>
  <c r="AB197" i="1" s="1"/>
  <c r="T198" i="1"/>
  <c r="U198" i="1" s="1"/>
  <c r="AH198" i="1"/>
  <c r="AI198" i="1" s="1"/>
  <c r="AJ198" i="1"/>
  <c r="T204" i="1"/>
  <c r="U204" i="1" s="1"/>
  <c r="AH204" i="1"/>
  <c r="AI204" i="1" s="1"/>
  <c r="AJ204" i="1"/>
  <c r="AA212" i="1"/>
  <c r="AB212" i="1" s="1"/>
  <c r="V25" i="6"/>
  <c r="U14" i="2"/>
  <c r="T20" i="2"/>
  <c r="Y20" i="2"/>
  <c r="Z20" i="2" s="1"/>
  <c r="Y21" i="2"/>
  <c r="Z21" i="2" s="1"/>
  <c r="T24" i="2"/>
  <c r="S24" i="2"/>
  <c r="AF24" i="2"/>
  <c r="AG24" i="2" s="1"/>
  <c r="AH24" i="2"/>
  <c r="AA25" i="2"/>
  <c r="Y25" i="2"/>
  <c r="Z25" i="2" s="1"/>
  <c r="AH29" i="2"/>
  <c r="AH40" i="2"/>
  <c r="AF40" i="2"/>
  <c r="AG40" i="2" s="1"/>
  <c r="AG54" i="1"/>
  <c r="K17" i="5"/>
  <c r="AA45" i="2"/>
  <c r="K26" i="5"/>
  <c r="F41" i="5"/>
  <c r="G41" i="5" s="1"/>
  <c r="M48" i="2"/>
  <c r="S48" i="2"/>
  <c r="S49" i="2"/>
  <c r="Y52" i="2"/>
  <c r="Z52" i="2" s="1"/>
  <c r="AA52" i="2"/>
  <c r="Z73" i="1"/>
  <c r="T53" i="2"/>
  <c r="S53" i="2"/>
  <c r="T60" i="2"/>
  <c r="S60" i="2"/>
  <c r="S63" i="2"/>
  <c r="AA65" i="2"/>
  <c r="J34" i="5"/>
  <c r="K34" i="5" s="1"/>
  <c r="AA68" i="2"/>
  <c r="Y69" i="2"/>
  <c r="Z69" i="2" s="1"/>
  <c r="AA69" i="2"/>
  <c r="S72" i="2"/>
  <c r="T72" i="2"/>
  <c r="AF73" i="2"/>
  <c r="AG73" i="2" s="1"/>
  <c r="AG108" i="1"/>
  <c r="M14" i="5"/>
  <c r="AH73" i="2"/>
  <c r="I13" i="5"/>
  <c r="I24" i="5"/>
  <c r="S87" i="2"/>
  <c r="AH96" i="2"/>
  <c r="AF96" i="2"/>
  <c r="AG96" i="2" s="1"/>
  <c r="T113" i="2"/>
  <c r="S164" i="1"/>
  <c r="V164" i="1" s="1"/>
  <c r="S113" i="2"/>
  <c r="T117" i="2"/>
  <c r="S117" i="2"/>
  <c r="S170" i="1"/>
  <c r="V170" i="1" s="1"/>
  <c r="AF127" i="2"/>
  <c r="AG127" i="2" s="1"/>
  <c r="AH127" i="2"/>
  <c r="AF130" i="2"/>
  <c r="AG130" i="2" s="1"/>
  <c r="AG188" i="1"/>
  <c r="AH130" i="2"/>
  <c r="T136" i="2"/>
  <c r="S196" i="1"/>
  <c r="V196" i="1" s="1"/>
  <c r="T137" i="2"/>
  <c r="S137" i="2"/>
  <c r="I35" i="5"/>
  <c r="T141" i="2"/>
  <c r="S203" i="1"/>
  <c r="T142" i="2"/>
  <c r="S142" i="2"/>
  <c r="I12" i="5"/>
  <c r="K13" i="5"/>
  <c r="I14" i="5"/>
  <c r="S18" i="1"/>
  <c r="V18" i="1" s="1"/>
  <c r="T20" i="1"/>
  <c r="U20" i="1" s="1"/>
  <c r="S24" i="1"/>
  <c r="V24" i="1" s="1"/>
  <c r="AG24" i="1"/>
  <c r="AJ26" i="1"/>
  <c r="T27" i="1"/>
  <c r="U27" i="1" s="1"/>
  <c r="AG28" i="1"/>
  <c r="AC54" i="1"/>
  <c r="AC55" i="1"/>
  <c r="L66" i="1"/>
  <c r="S66" i="1"/>
  <c r="V66" i="1" s="1"/>
  <c r="Z68" i="1"/>
  <c r="AG68" i="1"/>
  <c r="S69" i="1"/>
  <c r="AJ75" i="1"/>
  <c r="AJ88" i="1"/>
  <c r="AA101" i="1"/>
  <c r="AB101" i="1" s="1"/>
  <c r="M108" i="1"/>
  <c r="N108" i="1" s="1"/>
  <c r="Z110" i="1"/>
  <c r="AA111" i="1"/>
  <c r="AB111" i="1" s="1"/>
  <c r="S113" i="1"/>
  <c r="V113" i="1" s="1"/>
  <c r="L114" i="1"/>
  <c r="M114" i="1" s="1"/>
  <c r="AC122" i="1"/>
  <c r="Z123" i="1"/>
  <c r="AH140" i="1"/>
  <c r="AI140" i="1" s="1"/>
  <c r="S141" i="1"/>
  <c r="V141" i="1" s="1"/>
  <c r="P143" i="1"/>
  <c r="M150" i="1"/>
  <c r="N150" i="1" s="1"/>
  <c r="O150" i="1"/>
  <c r="AD148" i="1"/>
  <c r="AD155" i="1"/>
  <c r="AD154" i="1" s="1"/>
  <c r="AC156" i="1"/>
  <c r="T160" i="1"/>
  <c r="U160" i="1" s="1"/>
  <c r="AH160" i="1"/>
  <c r="AI160" i="1" s="1"/>
  <c r="AJ160" i="1"/>
  <c r="W163" i="1"/>
  <c r="AC171" i="1"/>
  <c r="AA171" i="1"/>
  <c r="AB171" i="1" s="1"/>
  <c r="T197" i="1"/>
  <c r="U197" i="1" s="1"/>
  <c r="AH197" i="1"/>
  <c r="AI197" i="1" s="1"/>
  <c r="AJ197" i="1"/>
  <c r="AC204" i="1"/>
  <c r="AC206" i="1"/>
  <c r="AA206" i="1"/>
  <c r="AB206" i="1" s="1"/>
  <c r="T212" i="1"/>
  <c r="U212" i="1" s="1"/>
  <c r="K33" i="5"/>
  <c r="J13" i="16"/>
  <c r="Y15" i="2"/>
  <c r="Z15" i="2" s="1"/>
  <c r="AA15" i="2"/>
  <c r="AA18" i="2"/>
  <c r="S20" i="2"/>
  <c r="T21" i="2"/>
  <c r="S21" i="2"/>
  <c r="AA28" i="2"/>
  <c r="Z37" i="1"/>
  <c r="AA29" i="2"/>
  <c r="Y29" i="2"/>
  <c r="Z29" i="2" s="1"/>
  <c r="S35" i="2"/>
  <c r="T35" i="2"/>
  <c r="S46" i="1"/>
  <c r="V46" i="1" s="1"/>
  <c r="S36" i="2"/>
  <c r="S47" i="1"/>
  <c r="V47" i="1" s="1"/>
  <c r="T36" i="2"/>
  <c r="K48" i="2"/>
  <c r="Y65" i="2"/>
  <c r="Z65" i="2" s="1"/>
  <c r="Y68" i="2"/>
  <c r="Z68" i="2" s="1"/>
  <c r="AA75" i="2"/>
  <c r="Y75" i="2"/>
  <c r="Z75" i="2" s="1"/>
  <c r="M76" i="2"/>
  <c r="L112" i="1"/>
  <c r="M112" i="1" s="1"/>
  <c r="AH76" i="2"/>
  <c r="AF76" i="2"/>
  <c r="AG76" i="2" s="1"/>
  <c r="T87" i="2"/>
  <c r="S90" i="2"/>
  <c r="T90" i="2"/>
  <c r="S134" i="1"/>
  <c r="V134" i="1" s="1"/>
  <c r="S92" i="2"/>
  <c r="T92" i="2"/>
  <c r="AF100" i="2"/>
  <c r="AG100" i="2" s="1"/>
  <c r="AG146" i="1"/>
  <c r="AA103" i="2"/>
  <c r="Y103" i="2"/>
  <c r="Z103" i="2" s="1"/>
  <c r="AH106" i="2"/>
  <c r="AF106" i="2"/>
  <c r="AG106" i="2" s="1"/>
  <c r="Y110" i="2"/>
  <c r="Z110" i="2" s="1"/>
  <c r="AA110" i="2"/>
  <c r="T112" i="2"/>
  <c r="S112" i="2"/>
  <c r="S162" i="1"/>
  <c r="V162" i="1" s="1"/>
  <c r="AF126" i="2"/>
  <c r="AG126" i="2" s="1"/>
  <c r="AH126" i="2"/>
  <c r="AG182" i="1"/>
  <c r="AH128" i="2"/>
  <c r="S136" i="2"/>
  <c r="S141" i="2"/>
  <c r="K14" i="5"/>
  <c r="T22" i="2"/>
  <c r="S22" i="2"/>
  <c r="K29" i="2"/>
  <c r="M29" i="2"/>
  <c r="I43" i="5"/>
  <c r="S54" i="2"/>
  <c r="H39" i="5"/>
  <c r="I39" i="5" s="1"/>
  <c r="T58" i="2"/>
  <c r="J19" i="5"/>
  <c r="K19" i="5" s="1"/>
  <c r="J39" i="5"/>
  <c r="K39" i="5" s="1"/>
  <c r="L39" i="5"/>
  <c r="M39" i="5" s="1"/>
  <c r="L19" i="5"/>
  <c r="M19" i="5" s="1"/>
  <c r="AF58" i="2"/>
  <c r="AG58" i="2" s="1"/>
  <c r="K44" i="5"/>
  <c r="AA59" i="2"/>
  <c r="AF63" i="2"/>
  <c r="AG63" i="2" s="1"/>
  <c r="AH63" i="2"/>
  <c r="T69" i="2"/>
  <c r="S69" i="2"/>
  <c r="AA73" i="2"/>
  <c r="Y73" i="2"/>
  <c r="Z73" i="2" s="1"/>
  <c r="L122" i="1"/>
  <c r="M122" i="1" s="1"/>
  <c r="Y86" i="2"/>
  <c r="Z86" i="2" s="1"/>
  <c r="AA86" i="2"/>
  <c r="M98" i="2"/>
  <c r="Y98" i="2"/>
  <c r="Z98" i="2" s="1"/>
  <c r="Z144" i="1"/>
  <c r="AA100" i="2"/>
  <c r="Y100" i="2"/>
  <c r="Z100" i="2" s="1"/>
  <c r="K103" i="2"/>
  <c r="M103" i="2"/>
  <c r="K104" i="2"/>
  <c r="M104" i="2"/>
  <c r="AF108" i="2"/>
  <c r="AG108" i="2" s="1"/>
  <c r="AG158" i="1"/>
  <c r="S114" i="2"/>
  <c r="T114" i="2"/>
  <c r="Y117" i="2"/>
  <c r="Z117" i="2" s="1"/>
  <c r="AA117" i="2"/>
  <c r="Y120" i="2"/>
  <c r="Z120" i="2" s="1"/>
  <c r="Z175" i="1"/>
  <c r="AA123" i="2"/>
  <c r="Z178" i="1"/>
  <c r="Y124" i="2"/>
  <c r="Z124" i="2" s="1"/>
  <c r="Z179" i="1"/>
  <c r="Y128" i="2"/>
  <c r="Z128" i="2" s="1"/>
  <c r="AA128" i="2"/>
  <c r="AF131" i="2"/>
  <c r="AG131" i="2" s="1"/>
  <c r="AH131" i="2"/>
  <c r="AF136" i="2"/>
  <c r="AG136" i="2" s="1"/>
  <c r="AH136" i="2"/>
  <c r="S145" i="2"/>
  <c r="T145" i="2"/>
  <c r="AA146" i="2"/>
  <c r="K10" i="5"/>
  <c r="Y146" i="2"/>
  <c r="Z146" i="2" s="1"/>
  <c r="Z208" i="1"/>
  <c r="Z207" i="1" s="1"/>
  <c r="H19" i="5"/>
  <c r="I19" i="5" s="1"/>
  <c r="Z116" i="1"/>
  <c r="AG116" i="1"/>
  <c r="AH125" i="1"/>
  <c r="AI125" i="1" s="1"/>
  <c r="T130" i="1"/>
  <c r="U130" i="1" s="1"/>
  <c r="S140" i="1"/>
  <c r="V140" i="1" s="1"/>
  <c r="L144" i="1"/>
  <c r="S144" i="1"/>
  <c r="V144" i="1" s="1"/>
  <c r="Z146" i="1"/>
  <c r="AA151" i="1"/>
  <c r="AB151" i="1" s="1"/>
  <c r="S158" i="1"/>
  <c r="V158" i="1" s="1"/>
  <c r="Z158" i="1"/>
  <c r="T161" i="1"/>
  <c r="U161" i="1" s="1"/>
  <c r="AG163" i="1"/>
  <c r="AH164" i="1"/>
  <c r="AI164" i="1" s="1"/>
  <c r="AH165" i="1"/>
  <c r="AI165" i="1" s="1"/>
  <c r="T169" i="1"/>
  <c r="U169" i="1" s="1"/>
  <c r="S177" i="1"/>
  <c r="V177" i="1" s="1"/>
  <c r="AG177" i="1"/>
  <c r="AH178" i="1"/>
  <c r="AI178" i="1" s="1"/>
  <c r="T181" i="1"/>
  <c r="U181" i="1" s="1"/>
  <c r="S182" i="1"/>
  <c r="V182" i="1" s="1"/>
  <c r="T187" i="1"/>
  <c r="U187" i="1" s="1"/>
  <c r="Z188" i="1"/>
  <c r="AH191" i="1"/>
  <c r="AI191" i="1" s="1"/>
  <c r="AH192" i="1"/>
  <c r="AI192" i="1" s="1"/>
  <c r="AG196" i="1"/>
  <c r="T199" i="1"/>
  <c r="U199" i="1" s="1"/>
  <c r="AH209" i="1"/>
  <c r="AI209" i="1" s="1"/>
  <c r="AF21" i="2"/>
  <c r="AG21" i="2" s="1"/>
  <c r="AH21" i="2"/>
  <c r="S25" i="2"/>
  <c r="K36" i="5"/>
  <c r="AA27" i="2"/>
  <c r="AH28" i="2"/>
  <c r="AH35" i="2"/>
  <c r="AF35" i="2"/>
  <c r="AG35" i="2" s="1"/>
  <c r="T41" i="2"/>
  <c r="I26" i="5"/>
  <c r="I17" i="5"/>
  <c r="Y49" i="2"/>
  <c r="Z49" i="2" s="1"/>
  <c r="AA49" i="2"/>
  <c r="T54" i="2"/>
  <c r="S58" i="2"/>
  <c r="I44" i="5"/>
  <c r="T59" i="2"/>
  <c r="Y59" i="2"/>
  <c r="Z59" i="2" s="1"/>
  <c r="AH60" i="2"/>
  <c r="L34" i="5"/>
  <c r="M34" i="5" s="1"/>
  <c r="AF68" i="2"/>
  <c r="AG68" i="2" s="1"/>
  <c r="AH68" i="2"/>
  <c r="K73" i="2"/>
  <c r="M73" i="2"/>
  <c r="Z76" i="2"/>
  <c r="AA77" i="2"/>
  <c r="Z77" i="2"/>
  <c r="AH77" i="2"/>
  <c r="Y79" i="2"/>
  <c r="Z79" i="2" s="1"/>
  <c r="AF83" i="2"/>
  <c r="AG83" i="2" s="1"/>
  <c r="AF89" i="2"/>
  <c r="AG89" i="2" s="1"/>
  <c r="AH90" i="2"/>
  <c r="AF90" i="2"/>
  <c r="AG90" i="2" s="1"/>
  <c r="AF94" i="2"/>
  <c r="AG94" i="2" s="1"/>
  <c r="K98" i="2"/>
  <c r="S98" i="2"/>
  <c r="S99" i="2"/>
  <c r="S108" i="2"/>
  <c r="S109" i="2"/>
  <c r="T110" i="2"/>
  <c r="T116" i="2"/>
  <c r="Y118" i="2"/>
  <c r="Z118" i="2" s="1"/>
  <c r="AA118" i="2"/>
  <c r="T120" i="2"/>
  <c r="S120" i="2"/>
  <c r="AA120" i="2"/>
  <c r="S122" i="2"/>
  <c r="Y122" i="2"/>
  <c r="Z122" i="2" s="1"/>
  <c r="Y123" i="2"/>
  <c r="Z123" i="2" s="1"/>
  <c r="AA124" i="2"/>
  <c r="S126" i="2"/>
  <c r="T127" i="2"/>
  <c r="S127" i="2"/>
  <c r="T130" i="2"/>
  <c r="S130" i="2"/>
  <c r="AA130" i="2"/>
  <c r="AF132" i="2"/>
  <c r="AG132" i="2" s="1"/>
  <c r="AH132" i="2"/>
  <c r="K35" i="5"/>
  <c r="AA141" i="2"/>
  <c r="AH142" i="2"/>
  <c r="AD208" i="1"/>
  <c r="H23" i="5"/>
  <c r="M33" i="5"/>
  <c r="H13" i="16"/>
  <c r="AB26" i="2"/>
  <c r="J15" i="5"/>
  <c r="T57" i="2"/>
  <c r="AH87" i="2"/>
  <c r="N97" i="2"/>
  <c r="AA104" i="2"/>
  <c r="Y104" i="2"/>
  <c r="Z104" i="2" s="1"/>
  <c r="Y109" i="2"/>
  <c r="Z109" i="2" s="1"/>
  <c r="AA109" i="2"/>
  <c r="M114" i="2"/>
  <c r="K114" i="2"/>
  <c r="U119" i="2"/>
  <c r="AF123" i="2"/>
  <c r="AG123" i="2" s="1"/>
  <c r="AH123" i="2"/>
  <c r="T128" i="2"/>
  <c r="S128" i="2"/>
  <c r="K27" i="5"/>
  <c r="K18" i="5"/>
  <c r="M35" i="5"/>
  <c r="AF141" i="2"/>
  <c r="AG141" i="2" s="1"/>
  <c r="AH141" i="2"/>
  <c r="H32" i="5"/>
  <c r="I32" i="5" s="1"/>
  <c r="S150" i="2"/>
  <c r="I10" i="5"/>
  <c r="I18" i="5"/>
  <c r="L25" i="5"/>
  <c r="M25" i="5" s="1"/>
  <c r="I27" i="5"/>
  <c r="I36" i="5"/>
  <c r="M41" i="5"/>
  <c r="M43" i="5"/>
  <c r="K24" i="5"/>
  <c r="K102" i="2"/>
  <c r="H38" i="5"/>
  <c r="I38" i="5" s="1"/>
  <c r="T144" i="2"/>
  <c r="L38" i="5"/>
  <c r="M38" i="5" s="1"/>
  <c r="AF144" i="2"/>
  <c r="AG144" i="2" s="1"/>
  <c r="T152" i="2"/>
  <c r="H42" i="5"/>
  <c r="I42" i="5" s="1"/>
  <c r="AF152" i="2"/>
  <c r="AG152" i="2" s="1"/>
  <c r="L42" i="5"/>
  <c r="M42" i="5" s="1"/>
  <c r="D9" i="5"/>
  <c r="D65" i="5" s="1"/>
  <c r="P11" i="1" l="1"/>
  <c r="H7" i="2"/>
  <c r="AG11" i="1"/>
  <c r="Z11" i="1"/>
  <c r="Z8" i="1"/>
  <c r="X9" i="2"/>
  <c r="V13" i="1"/>
  <c r="E5" i="7"/>
  <c r="T13" i="1"/>
  <c r="AD11" i="1"/>
  <c r="F9" i="5"/>
  <c r="J9" i="2"/>
  <c r="J6" i="2" s="1"/>
  <c r="W10" i="1"/>
  <c r="K9" i="6"/>
  <c r="O13" i="1"/>
  <c r="C5" i="7"/>
  <c r="M13" i="1"/>
  <c r="AC12" i="1"/>
  <c r="G6" i="7"/>
  <c r="AA12" i="1"/>
  <c r="W11" i="1"/>
  <c r="AJ13" i="1"/>
  <c r="I5" i="7"/>
  <c r="AH13" i="1"/>
  <c r="AD10" i="1"/>
  <c r="W9" i="1"/>
  <c r="AC13" i="1"/>
  <c r="G5" i="7"/>
  <c r="AA13" i="1"/>
  <c r="O12" i="1"/>
  <c r="C6" i="7"/>
  <c r="M12" i="1"/>
  <c r="J11" i="1"/>
  <c r="AJ12" i="1"/>
  <c r="I6" i="7"/>
  <c r="AH12" i="1"/>
  <c r="E9" i="6"/>
  <c r="P10" i="1"/>
  <c r="S11" i="1"/>
  <c r="H8" i="1"/>
  <c r="H6" i="1" s="1"/>
  <c r="D11" i="10"/>
  <c r="L6" i="7" s="1"/>
  <c r="C12" i="6"/>
  <c r="E12" i="6" s="1"/>
  <c r="B6" i="7"/>
  <c r="V12" i="1"/>
  <c r="E6" i="7"/>
  <c r="T12" i="1"/>
  <c r="S8" i="1"/>
  <c r="C13" i="6"/>
  <c r="E13" i="6" s="1"/>
  <c r="D12" i="10"/>
  <c r="L5" i="7" s="1"/>
  <c r="B5" i="7"/>
  <c r="AD8" i="1"/>
  <c r="H9" i="5"/>
  <c r="I9" i="5" s="1"/>
  <c r="Q9" i="2"/>
  <c r="Q6" i="2" s="1"/>
  <c r="AE9" i="2"/>
  <c r="AE6" i="2" s="1"/>
  <c r="L9" i="5"/>
  <c r="L7" i="5" s="1"/>
  <c r="J9" i="5"/>
  <c r="J81" i="1"/>
  <c r="AA81" i="1"/>
  <c r="AB81" i="1" s="1"/>
  <c r="AH81" i="1"/>
  <c r="AI81" i="1" s="1"/>
  <c r="T81" i="1"/>
  <c r="J85" i="1"/>
  <c r="J84" i="1" s="1"/>
  <c r="I71" i="5"/>
  <c r="J107" i="1"/>
  <c r="J106" i="1" s="1"/>
  <c r="E20" i="6" s="1"/>
  <c r="D49" i="6" s="1"/>
  <c r="V203" i="1"/>
  <c r="S202" i="1"/>
  <c r="V202" i="1" s="1"/>
  <c r="H107" i="1"/>
  <c r="H106" i="1" s="1"/>
  <c r="AD107" i="1"/>
  <c r="AD106" i="1" s="1"/>
  <c r="D23" i="5"/>
  <c r="B21" i="5"/>
  <c r="D21" i="5" s="1"/>
  <c r="P107" i="1"/>
  <c r="P106" i="1" s="1"/>
  <c r="K20" i="6" s="1"/>
  <c r="S107" i="1"/>
  <c r="V107" i="1" s="1"/>
  <c r="W107" i="1"/>
  <c r="W106" i="1" s="1"/>
  <c r="P20" i="6" s="1"/>
  <c r="Z107" i="1"/>
  <c r="AG107" i="1"/>
  <c r="H40" i="1"/>
  <c r="H39" i="1" s="1"/>
  <c r="C17" i="6" s="1"/>
  <c r="B46" i="6" s="1"/>
  <c r="I46" i="6" s="1"/>
  <c r="AL39" i="2"/>
  <c r="AL37" i="2"/>
  <c r="AL31" i="2"/>
  <c r="AL34" i="2"/>
  <c r="AL38" i="2"/>
  <c r="AL32" i="2"/>
  <c r="K37" i="2"/>
  <c r="L37" i="2" s="1"/>
  <c r="L48" i="1"/>
  <c r="M37" i="2"/>
  <c r="AF37" i="2"/>
  <c r="AG37" i="2" s="1"/>
  <c r="AG48" i="1"/>
  <c r="AH37" i="2"/>
  <c r="R37" i="2"/>
  <c r="S37" i="2" s="1"/>
  <c r="S48" i="1"/>
  <c r="T37" i="2"/>
  <c r="Z48" i="1"/>
  <c r="Y37" i="2"/>
  <c r="Z37" i="2" s="1"/>
  <c r="AA37" i="2"/>
  <c r="J41" i="1"/>
  <c r="J143" i="1"/>
  <c r="L45" i="1"/>
  <c r="O45" i="1" s="1"/>
  <c r="L51" i="1"/>
  <c r="O51" i="1" s="1"/>
  <c r="L43" i="1"/>
  <c r="O43" i="1" s="1"/>
  <c r="K31" i="2"/>
  <c r="N7" i="16"/>
  <c r="N6" i="16"/>
  <c r="N9" i="16"/>
  <c r="AD91" i="1"/>
  <c r="AD80" i="1" s="1"/>
  <c r="U19" i="6" s="1"/>
  <c r="W91" i="1"/>
  <c r="W80" i="1" s="1"/>
  <c r="P19" i="6" s="1"/>
  <c r="H80" i="1"/>
  <c r="P91" i="1"/>
  <c r="P80" i="1" s="1"/>
  <c r="K19" i="6" s="1"/>
  <c r="D10" i="10"/>
  <c r="L7" i="7" s="1"/>
  <c r="AH33" i="1"/>
  <c r="AI33" i="1" s="1"/>
  <c r="M12" i="5"/>
  <c r="H9" i="16"/>
  <c r="I9" i="16" s="1"/>
  <c r="H7" i="16"/>
  <c r="I7" i="16" s="1"/>
  <c r="M15" i="5"/>
  <c r="H6" i="16"/>
  <c r="I6" i="16" s="1"/>
  <c r="J7" i="16"/>
  <c r="K12" i="5"/>
  <c r="J9" i="16"/>
  <c r="K9" i="16" s="1"/>
  <c r="K15" i="5"/>
  <c r="J6" i="16"/>
  <c r="V69" i="1"/>
  <c r="T69" i="1"/>
  <c r="U69" i="1" s="1"/>
  <c r="H21" i="5"/>
  <c r="V110" i="1"/>
  <c r="J133" i="1"/>
  <c r="J132" i="1" s="1"/>
  <c r="J156" i="1"/>
  <c r="J154" i="1" s="1"/>
  <c r="J153" i="1" s="1"/>
  <c r="AD185" i="1"/>
  <c r="W185" i="1"/>
  <c r="H185" i="1"/>
  <c r="H153" i="1"/>
  <c r="H142" i="1" s="1"/>
  <c r="C22" i="6" s="1"/>
  <c r="B51" i="6" s="1"/>
  <c r="I51" i="6" s="1"/>
  <c r="J185" i="1"/>
  <c r="V186" i="1"/>
  <c r="P185" i="1"/>
  <c r="O138" i="1"/>
  <c r="M138" i="1"/>
  <c r="N138" i="1" s="1"/>
  <c r="P77" i="1"/>
  <c r="P76" i="1" s="1"/>
  <c r="T31" i="2"/>
  <c r="AH31" i="2"/>
  <c r="Y7" i="2"/>
  <c r="Z7" i="2" s="1"/>
  <c r="D11" i="5"/>
  <c r="D67" i="5" s="1"/>
  <c r="S190" i="1"/>
  <c r="V190" i="1" s="1"/>
  <c r="V191" i="1"/>
  <c r="T124" i="1"/>
  <c r="U124" i="1" s="1"/>
  <c r="V124" i="1"/>
  <c r="T34" i="2"/>
  <c r="AG50" i="1"/>
  <c r="AJ50" i="1" s="1"/>
  <c r="AF38" i="2"/>
  <c r="AG38" i="2" s="1"/>
  <c r="R97" i="2"/>
  <c r="S97" i="2" s="1"/>
  <c r="T32" i="2"/>
  <c r="S43" i="1"/>
  <c r="V43" i="1" s="1"/>
  <c r="R31" i="2"/>
  <c r="S31" i="2" s="1"/>
  <c r="Q30" i="2"/>
  <c r="L42" i="1"/>
  <c r="O42" i="1" s="1"/>
  <c r="S51" i="1"/>
  <c r="V51" i="1" s="1"/>
  <c r="M20" i="1"/>
  <c r="N20" i="1" s="1"/>
  <c r="O20" i="1"/>
  <c r="T39" i="2"/>
  <c r="S34" i="2"/>
  <c r="M32" i="2"/>
  <c r="AF31" i="2"/>
  <c r="AG31" i="2" s="1"/>
  <c r="K32" i="2"/>
  <c r="S45" i="1"/>
  <c r="V45" i="1" s="1"/>
  <c r="S50" i="1"/>
  <c r="V50" i="1" s="1"/>
  <c r="H31" i="5"/>
  <c r="I31" i="5" s="1"/>
  <c r="T38" i="2"/>
  <c r="J49" i="1"/>
  <c r="M34" i="2"/>
  <c r="J127" i="1"/>
  <c r="K38" i="2"/>
  <c r="L50" i="1"/>
  <c r="X30" i="2"/>
  <c r="AL30" i="2" s="1"/>
  <c r="Y31" i="2"/>
  <c r="Z31" i="2" s="1"/>
  <c r="Z42" i="1"/>
  <c r="AA31" i="2"/>
  <c r="M39" i="2"/>
  <c r="M38" i="2"/>
  <c r="AE30" i="2"/>
  <c r="AG42" i="1"/>
  <c r="AF39" i="2"/>
  <c r="AG39" i="2" s="1"/>
  <c r="AH39" i="2"/>
  <c r="AG51" i="1"/>
  <c r="AG43" i="1"/>
  <c r="AF32" i="2"/>
  <c r="AG32" i="2" s="1"/>
  <c r="AH32" i="2"/>
  <c r="J31" i="5"/>
  <c r="K31" i="5" s="1"/>
  <c r="K39" i="2"/>
  <c r="AA38" i="2"/>
  <c r="Y38" i="2"/>
  <c r="Z38" i="2" s="1"/>
  <c r="Z50" i="1"/>
  <c r="J30" i="2"/>
  <c r="M31" i="2"/>
  <c r="AH34" i="2"/>
  <c r="AG45" i="1"/>
  <c r="K34" i="2"/>
  <c r="L31" i="5"/>
  <c r="M31" i="5" s="1"/>
  <c r="AA32" i="2"/>
  <c r="Y32" i="2"/>
  <c r="Z32" i="2" s="1"/>
  <c r="Z43" i="1"/>
  <c r="S42" i="1"/>
  <c r="Y39" i="2"/>
  <c r="Z39" i="2" s="1"/>
  <c r="Z51" i="1"/>
  <c r="AA39" i="2"/>
  <c r="Y34" i="2"/>
  <c r="Z34" i="2" s="1"/>
  <c r="AA34" i="2"/>
  <c r="Z45" i="1"/>
  <c r="AD207" i="1"/>
  <c r="U24" i="6" s="1"/>
  <c r="J207" i="1"/>
  <c r="E24" i="6" s="1"/>
  <c r="D53" i="6" s="1"/>
  <c r="P207" i="1"/>
  <c r="K24" i="6" s="1"/>
  <c r="AA159" i="1"/>
  <c r="AB159" i="1" s="1"/>
  <c r="AJ65" i="1"/>
  <c r="J64" i="1"/>
  <c r="E18" i="6" s="1"/>
  <c r="D47" i="6" s="1"/>
  <c r="J173" i="1"/>
  <c r="AH159" i="1"/>
  <c r="AI159" i="1" s="1"/>
  <c r="T159" i="1"/>
  <c r="U159" i="1" s="1"/>
  <c r="J23" i="1"/>
  <c r="J15" i="1" s="1"/>
  <c r="D9" i="6"/>
  <c r="AJ121" i="1"/>
  <c r="D19" i="6"/>
  <c r="C48" i="6" s="1"/>
  <c r="AA156" i="1"/>
  <c r="AB156" i="1" s="1"/>
  <c r="H173" i="1"/>
  <c r="AA100" i="1"/>
  <c r="AB100" i="1" s="1"/>
  <c r="AH156" i="1"/>
  <c r="AI156" i="1" s="1"/>
  <c r="T156" i="1"/>
  <c r="U156" i="1" s="1"/>
  <c r="D15" i="6"/>
  <c r="C44" i="6" s="1"/>
  <c r="T148" i="1"/>
  <c r="U148" i="1" s="1"/>
  <c r="D40" i="5"/>
  <c r="AH72" i="1"/>
  <c r="AI72" i="1" s="1"/>
  <c r="I11" i="5"/>
  <c r="K23" i="5"/>
  <c r="M23" i="5"/>
  <c r="D20" i="6"/>
  <c r="C49" i="6" s="1"/>
  <c r="D22" i="6"/>
  <c r="C51" i="6" s="1"/>
  <c r="O25" i="6"/>
  <c r="N151" i="1"/>
  <c r="N88" i="1"/>
  <c r="N22" i="1"/>
  <c r="M11" i="5"/>
  <c r="H23" i="1"/>
  <c r="H15" i="1" s="1"/>
  <c r="AC9" i="1"/>
  <c r="T9" i="6" s="1"/>
  <c r="G7" i="7"/>
  <c r="K11" i="5"/>
  <c r="AH77" i="1"/>
  <c r="AI77" i="1" s="1"/>
  <c r="AA9" i="1"/>
  <c r="H7" i="7" s="1"/>
  <c r="E7" i="7"/>
  <c r="C9" i="6"/>
  <c r="B7" i="7"/>
  <c r="AC17" i="1"/>
  <c r="Q9" i="6"/>
  <c r="O9" i="1"/>
  <c r="C7" i="7"/>
  <c r="H126" i="1"/>
  <c r="C21" i="6" s="1"/>
  <c r="B50" i="6" s="1"/>
  <c r="I50" i="6" s="1"/>
  <c r="Z52" i="1"/>
  <c r="AA52" i="1" s="1"/>
  <c r="AB52" i="1" s="1"/>
  <c r="T94" i="1"/>
  <c r="U94" i="1" s="1"/>
  <c r="H64" i="1"/>
  <c r="AA154" i="1"/>
  <c r="AB154" i="1" s="1"/>
  <c r="AA76" i="1"/>
  <c r="AB76" i="1" s="1"/>
  <c r="D18" i="6"/>
  <c r="C47" i="6" s="1"/>
  <c r="D17" i="6"/>
  <c r="C46" i="6" s="1"/>
  <c r="T9" i="1"/>
  <c r="W133" i="1"/>
  <c r="W132" i="1" s="1"/>
  <c r="W126" i="1" s="1"/>
  <c r="P21" i="6" s="1"/>
  <c r="AH17" i="1"/>
  <c r="AI17" i="1" s="1"/>
  <c r="L9" i="6"/>
  <c r="G9" i="6"/>
  <c r="M9" i="1"/>
  <c r="D7" i="7" s="1"/>
  <c r="AC33" i="1"/>
  <c r="AH121" i="1"/>
  <c r="AI121" i="1" s="1"/>
  <c r="AA53" i="1"/>
  <c r="AB53" i="1" s="1"/>
  <c r="AA129" i="1"/>
  <c r="AB129" i="1" s="1"/>
  <c r="L25" i="6"/>
  <c r="P173" i="1"/>
  <c r="W64" i="1"/>
  <c r="P18" i="6" s="1"/>
  <c r="AD126" i="1"/>
  <c r="U21" i="6" s="1"/>
  <c r="W40" i="1"/>
  <c r="W39" i="1" s="1"/>
  <c r="P17" i="6" s="1"/>
  <c r="AA77" i="1"/>
  <c r="AB77" i="1" s="1"/>
  <c r="AA56" i="1"/>
  <c r="AB56" i="1" s="1"/>
  <c r="S76" i="1"/>
  <c r="V76" i="1" s="1"/>
  <c r="O79" i="1"/>
  <c r="N79" i="1" s="1"/>
  <c r="H97" i="2"/>
  <c r="AJ77" i="1"/>
  <c r="AH65" i="1"/>
  <c r="AI65" i="1" s="1"/>
  <c r="AD64" i="1"/>
  <c r="U18" i="6" s="1"/>
  <c r="AA17" i="1"/>
  <c r="AB17" i="1" s="1"/>
  <c r="AD153" i="1"/>
  <c r="AD142" i="1" s="1"/>
  <c r="U22" i="6" s="1"/>
  <c r="W23" i="1"/>
  <c r="W15" i="1" s="1"/>
  <c r="O149" i="1"/>
  <c r="N149" i="1" s="1"/>
  <c r="P23" i="1"/>
  <c r="P15" i="1" s="1"/>
  <c r="W173" i="1"/>
  <c r="P40" i="1"/>
  <c r="P39" i="1" s="1"/>
  <c r="T211" i="1"/>
  <c r="AD40" i="1"/>
  <c r="AD39" i="1" s="1"/>
  <c r="U17" i="6" s="1"/>
  <c r="AA211" i="1"/>
  <c r="AB211" i="1" s="1"/>
  <c r="S25" i="6" s="1"/>
  <c r="P153" i="1"/>
  <c r="P142" i="1" s="1"/>
  <c r="K22" i="6" s="1"/>
  <c r="AC211" i="1"/>
  <c r="T25" i="6" s="1"/>
  <c r="M96" i="1"/>
  <c r="N96" i="1" s="1"/>
  <c r="T77" i="1"/>
  <c r="U77" i="1" s="1"/>
  <c r="T38" i="1"/>
  <c r="U38" i="1" s="1"/>
  <c r="AD173" i="1"/>
  <c r="T154" i="1"/>
  <c r="U154" i="1" s="1"/>
  <c r="W153" i="1"/>
  <c r="W142" i="1" s="1"/>
  <c r="P22" i="6" s="1"/>
  <c r="AD23" i="1"/>
  <c r="AD15" i="1" s="1"/>
  <c r="Q26" i="6"/>
  <c r="AC213" i="1"/>
  <c r="T26" i="6" s="1"/>
  <c r="V9" i="6"/>
  <c r="AH9" i="1"/>
  <c r="J7" i="7" s="1"/>
  <c r="AJ9" i="1"/>
  <c r="Y9" i="6" s="1"/>
  <c r="AH190" i="1"/>
  <c r="AI190" i="1" s="1"/>
  <c r="AH89" i="1"/>
  <c r="AI89" i="1" s="1"/>
  <c r="AJ89" i="1"/>
  <c r="AG76" i="1"/>
  <c r="AJ76" i="1" s="1"/>
  <c r="AG16" i="1"/>
  <c r="AJ16" i="1" s="1"/>
  <c r="AH154" i="1"/>
  <c r="AI154" i="1" s="1"/>
  <c r="AH124" i="1"/>
  <c r="AI124" i="1" s="1"/>
  <c r="AJ17" i="1"/>
  <c r="AJ81" i="1"/>
  <c r="L40" i="5"/>
  <c r="M40" i="5" s="1"/>
  <c r="AH56" i="1"/>
  <c r="AI56" i="1" s="1"/>
  <c r="AG14" i="2"/>
  <c r="AB213" i="1"/>
  <c r="S26" i="6" s="1"/>
  <c r="R26" i="6"/>
  <c r="AA190" i="1"/>
  <c r="AB190" i="1" s="1"/>
  <c r="AC190" i="1"/>
  <c r="AA166" i="1"/>
  <c r="AB166" i="1" s="1"/>
  <c r="AC166" i="1"/>
  <c r="AC139" i="1"/>
  <c r="AA139" i="1"/>
  <c r="AB139" i="1" s="1"/>
  <c r="Z127" i="1"/>
  <c r="AC129" i="1"/>
  <c r="AC124" i="1"/>
  <c r="AA124" i="1"/>
  <c r="AB124" i="1" s="1"/>
  <c r="AA92" i="1"/>
  <c r="AB92" i="1" s="1"/>
  <c r="AC77" i="1"/>
  <c r="AC76" i="1"/>
  <c r="AC16" i="1"/>
  <c r="AA16" i="1"/>
  <c r="AB16" i="1" s="1"/>
  <c r="T213" i="1"/>
  <c r="U213" i="1" s="1"/>
  <c r="L26" i="6"/>
  <c r="T110" i="1"/>
  <c r="U110" i="1" s="1"/>
  <c r="T19" i="1"/>
  <c r="U19" i="1" s="1"/>
  <c r="M199" i="1"/>
  <c r="N199" i="1" s="1"/>
  <c r="O22" i="1"/>
  <c r="O147" i="1"/>
  <c r="M147" i="1"/>
  <c r="N147" i="1" s="1"/>
  <c r="M72" i="1"/>
  <c r="N72" i="1" s="1"/>
  <c r="O88" i="1"/>
  <c r="M103" i="1"/>
  <c r="N103" i="1" s="1"/>
  <c r="O206" i="1"/>
  <c r="M206" i="1"/>
  <c r="N206" i="1" s="1"/>
  <c r="M156" i="1"/>
  <c r="S36" i="1"/>
  <c r="T21" i="1"/>
  <c r="U21" i="1" s="1"/>
  <c r="T22" i="1"/>
  <c r="U22" i="1" s="1"/>
  <c r="T55" i="1"/>
  <c r="U55" i="1" s="1"/>
  <c r="T57" i="1"/>
  <c r="U57" i="1" s="1"/>
  <c r="S56" i="1"/>
  <c r="V56" i="1" s="1"/>
  <c r="T29" i="1"/>
  <c r="U29" i="1" s="1"/>
  <c r="S28" i="1"/>
  <c r="O156" i="1"/>
  <c r="T33" i="1"/>
  <c r="U33" i="1" s="1"/>
  <c r="O203" i="1"/>
  <c r="M203" i="1"/>
  <c r="N203" i="1" s="1"/>
  <c r="M145" i="1"/>
  <c r="N145" i="1" s="1"/>
  <c r="M198" i="1"/>
  <c r="N198" i="1" s="1"/>
  <c r="O198" i="1"/>
  <c r="P32" i="1"/>
  <c r="K16" i="6" s="1"/>
  <c r="M101" i="1"/>
  <c r="N101" i="1" s="1"/>
  <c r="O101" i="1"/>
  <c r="M86" i="1"/>
  <c r="O86" i="1"/>
  <c r="S26" i="2"/>
  <c r="T26" i="2"/>
  <c r="I23" i="5"/>
  <c r="T182" i="1"/>
  <c r="U182" i="1" s="1"/>
  <c r="S180" i="1"/>
  <c r="V180" i="1" s="1"/>
  <c r="T177" i="1"/>
  <c r="U177" i="1" s="1"/>
  <c r="S174" i="1"/>
  <c r="V174" i="1" s="1"/>
  <c r="AJ163" i="1"/>
  <c r="AH163" i="1"/>
  <c r="AI163" i="1" s="1"/>
  <c r="S157" i="1"/>
  <c r="V157" i="1" s="1"/>
  <c r="T158" i="1"/>
  <c r="U158" i="1" s="1"/>
  <c r="T144" i="1"/>
  <c r="U144" i="1" s="1"/>
  <c r="S143" i="1"/>
  <c r="V143" i="1" s="1"/>
  <c r="U83" i="1"/>
  <c r="AA179" i="1"/>
  <c r="AB179" i="1" s="1"/>
  <c r="AC179" i="1"/>
  <c r="Z174" i="1"/>
  <c r="AC175" i="1"/>
  <c r="AA175" i="1"/>
  <c r="AB175" i="1" s="1"/>
  <c r="AG157" i="1"/>
  <c r="AH158" i="1"/>
  <c r="AI158" i="1" s="1"/>
  <c r="AJ158" i="1"/>
  <c r="Z143" i="1"/>
  <c r="AA144" i="1"/>
  <c r="AB144" i="1" s="1"/>
  <c r="AC144" i="1"/>
  <c r="O112" i="1"/>
  <c r="T46" i="1"/>
  <c r="U46" i="1" s="1"/>
  <c r="T113" i="1"/>
  <c r="U113" i="1" s="1"/>
  <c r="Z67" i="1"/>
  <c r="AC68" i="1"/>
  <c r="AA68" i="1"/>
  <c r="AB68" i="1" s="1"/>
  <c r="AG35" i="1"/>
  <c r="AJ36" i="1"/>
  <c r="AH36" i="1"/>
  <c r="AI36" i="1" s="1"/>
  <c r="AH24" i="1"/>
  <c r="AI24" i="1" s="1"/>
  <c r="AJ24" i="1"/>
  <c r="AG23" i="1"/>
  <c r="T203" i="1"/>
  <c r="U203" i="1" s="1"/>
  <c r="AH188" i="1"/>
  <c r="AI188" i="1" s="1"/>
  <c r="AJ188" i="1"/>
  <c r="AG186" i="1"/>
  <c r="AA96" i="1"/>
  <c r="AB96" i="1" s="1"/>
  <c r="AC96" i="1"/>
  <c r="Z72" i="1"/>
  <c r="AC73" i="1"/>
  <c r="AA73" i="1"/>
  <c r="AB73" i="1" s="1"/>
  <c r="AC60" i="1"/>
  <c r="Z58" i="1"/>
  <c r="AA60" i="1"/>
  <c r="AB60" i="1" s="1"/>
  <c r="AG53" i="1"/>
  <c r="AJ54" i="1"/>
  <c r="AH54" i="1"/>
  <c r="AI54" i="1" s="1"/>
  <c r="AJ179" i="1"/>
  <c r="AH179" i="1"/>
  <c r="AI179" i="1" s="1"/>
  <c r="T93" i="1"/>
  <c r="U93" i="1" s="1"/>
  <c r="AA195" i="1"/>
  <c r="AB195" i="1" s="1"/>
  <c r="AC195" i="1"/>
  <c r="T121" i="1"/>
  <c r="U121" i="1" s="1"/>
  <c r="S120" i="1"/>
  <c r="V120" i="1" s="1"/>
  <c r="T73" i="1"/>
  <c r="U73" i="1" s="1"/>
  <c r="S72" i="1"/>
  <c r="V72" i="1" s="1"/>
  <c r="T54" i="1"/>
  <c r="U54" i="1" s="1"/>
  <c r="S53" i="1"/>
  <c r="V53" i="1" s="1"/>
  <c r="AA165" i="1"/>
  <c r="AB165" i="1" s="1"/>
  <c r="AC165" i="1"/>
  <c r="M21" i="1"/>
  <c r="N21" i="1" s="1"/>
  <c r="O21" i="1"/>
  <c r="AA113" i="1"/>
  <c r="AB113" i="1" s="1"/>
  <c r="AC113" i="1"/>
  <c r="K22" i="5"/>
  <c r="J21" i="5"/>
  <c r="T119" i="2"/>
  <c r="S119" i="2"/>
  <c r="Y26" i="2"/>
  <c r="Z26" i="2" s="1"/>
  <c r="AA26" i="2"/>
  <c r="AH196" i="1"/>
  <c r="AI196" i="1" s="1"/>
  <c r="AG195" i="1"/>
  <c r="AJ196" i="1"/>
  <c r="AC188" i="1"/>
  <c r="AA188" i="1"/>
  <c r="AB188" i="1" s="1"/>
  <c r="Z186" i="1"/>
  <c r="Z185" i="1" s="1"/>
  <c r="O144" i="1"/>
  <c r="M144" i="1"/>
  <c r="AH116" i="1"/>
  <c r="AI116" i="1" s="1"/>
  <c r="AJ116" i="1"/>
  <c r="AA145" i="2"/>
  <c r="Y145" i="2"/>
  <c r="Z145" i="2" s="1"/>
  <c r="Y97" i="2"/>
  <c r="Z97" i="2" s="1"/>
  <c r="AA97" i="2"/>
  <c r="AA72" i="2"/>
  <c r="Y72" i="2"/>
  <c r="Z72" i="2" s="1"/>
  <c r="AA119" i="2"/>
  <c r="Y119" i="2"/>
  <c r="Z119" i="2" s="1"/>
  <c r="Z36" i="1"/>
  <c r="AA37" i="1"/>
  <c r="AB37" i="1" s="1"/>
  <c r="AC37" i="1"/>
  <c r="AH92" i="1"/>
  <c r="AI92" i="1" s="1"/>
  <c r="AJ92" i="1"/>
  <c r="AC85" i="1"/>
  <c r="AA85" i="1"/>
  <c r="AB85" i="1" s="1"/>
  <c r="T66" i="1"/>
  <c r="U66" i="1" s="1"/>
  <c r="S65" i="1"/>
  <c r="AJ28" i="1"/>
  <c r="AH28" i="1"/>
  <c r="AI28" i="1" s="1"/>
  <c r="T24" i="1"/>
  <c r="U24" i="1" s="1"/>
  <c r="T18" i="1"/>
  <c r="U18" i="1" s="1"/>
  <c r="S17" i="1"/>
  <c r="V17" i="1" s="1"/>
  <c r="S195" i="1"/>
  <c r="V195" i="1" s="1"/>
  <c r="T196" i="1"/>
  <c r="U196" i="1" s="1"/>
  <c r="AJ113" i="1"/>
  <c r="AH113" i="1"/>
  <c r="AI113" i="1" s="1"/>
  <c r="AH110" i="1"/>
  <c r="AI110" i="1" s="1"/>
  <c r="AJ110" i="1"/>
  <c r="AH85" i="1"/>
  <c r="AI85" i="1" s="1"/>
  <c r="AJ85" i="1"/>
  <c r="AH74" i="1"/>
  <c r="AI74" i="1" s="1"/>
  <c r="AJ74" i="1"/>
  <c r="AA27" i="1"/>
  <c r="AB27" i="1" s="1"/>
  <c r="AC27" i="1"/>
  <c r="AF119" i="2"/>
  <c r="AG119" i="2" s="1"/>
  <c r="AH119" i="2"/>
  <c r="T179" i="1"/>
  <c r="U179" i="1" s="1"/>
  <c r="AA145" i="1"/>
  <c r="AB145" i="1" s="1"/>
  <c r="AC145" i="1"/>
  <c r="AH26" i="2"/>
  <c r="AF26" i="2"/>
  <c r="AG26" i="2" s="1"/>
  <c r="Z132" i="1"/>
  <c r="AC133" i="1"/>
  <c r="AA133" i="1"/>
  <c r="AB133" i="1" s="1"/>
  <c r="M22" i="5"/>
  <c r="AA169" i="1"/>
  <c r="AB169" i="1" s="1"/>
  <c r="Z168" i="1"/>
  <c r="AC169" i="1"/>
  <c r="AH151" i="1"/>
  <c r="AI151" i="1" s="1"/>
  <c r="AJ151" i="1"/>
  <c r="AJ213" i="1"/>
  <c r="Y26" i="6" s="1"/>
  <c r="V26" i="6"/>
  <c r="AH213" i="1"/>
  <c r="AJ207" i="1"/>
  <c r="Y24" i="6" s="1"/>
  <c r="V24" i="6"/>
  <c r="AH207" i="1"/>
  <c r="AG148" i="1"/>
  <c r="S151" i="2"/>
  <c r="T56" i="2"/>
  <c r="T207" i="1"/>
  <c r="U207" i="1" s="1"/>
  <c r="L24" i="6"/>
  <c r="AA146" i="1"/>
  <c r="AB146" i="1" s="1"/>
  <c r="AC146" i="1"/>
  <c r="T140" i="1"/>
  <c r="U140" i="1" s="1"/>
  <c r="S139" i="1"/>
  <c r="V139" i="1" s="1"/>
  <c r="AC116" i="1"/>
  <c r="AA116" i="1"/>
  <c r="AB116" i="1" s="1"/>
  <c r="AA208" i="1"/>
  <c r="AB208" i="1" s="1"/>
  <c r="AC208" i="1"/>
  <c r="AA178" i="1"/>
  <c r="AB178" i="1" s="1"/>
  <c r="AC178" i="1"/>
  <c r="O122" i="1"/>
  <c r="AH182" i="1"/>
  <c r="AI182" i="1" s="1"/>
  <c r="AG180" i="1"/>
  <c r="AJ182" i="1"/>
  <c r="T162" i="1"/>
  <c r="U162" i="1" s="1"/>
  <c r="AH146" i="1"/>
  <c r="AI146" i="1" s="1"/>
  <c r="AG143" i="1"/>
  <c r="AJ146" i="1"/>
  <c r="S133" i="1"/>
  <c r="V133" i="1" s="1"/>
  <c r="T134" i="1"/>
  <c r="U134" i="1" s="1"/>
  <c r="T47" i="1"/>
  <c r="U47" i="1" s="1"/>
  <c r="AF14" i="2"/>
  <c r="AH14" i="2"/>
  <c r="AJ120" i="1"/>
  <c r="AH120" i="1"/>
  <c r="AI120" i="1" s="1"/>
  <c r="AC110" i="1"/>
  <c r="AA110" i="1"/>
  <c r="AB110" i="1" s="1"/>
  <c r="S68" i="1"/>
  <c r="V68" i="1" s="1"/>
  <c r="L65" i="1"/>
  <c r="O66" i="1"/>
  <c r="M66" i="1"/>
  <c r="N66" i="1" s="1"/>
  <c r="AJ108" i="1"/>
  <c r="AH108" i="1"/>
  <c r="AI108" i="1" s="1"/>
  <c r="AA103" i="1"/>
  <c r="AB103" i="1" s="1"/>
  <c r="AC103" i="1"/>
  <c r="AH202" i="1"/>
  <c r="AI202" i="1" s="1"/>
  <c r="AG201" i="1"/>
  <c r="AJ202" i="1"/>
  <c r="AC183" i="1"/>
  <c r="AA183" i="1"/>
  <c r="AB183" i="1" s="1"/>
  <c r="AJ139" i="1"/>
  <c r="AH139" i="1"/>
  <c r="AI139" i="1" s="1"/>
  <c r="T89" i="1"/>
  <c r="U89" i="1" s="1"/>
  <c r="T74" i="1"/>
  <c r="U74" i="1" s="1"/>
  <c r="T59" i="1"/>
  <c r="U59" i="1" s="1"/>
  <c r="S58" i="1"/>
  <c r="V58" i="1" s="1"/>
  <c r="Y149" i="2"/>
  <c r="Z149" i="2" s="1"/>
  <c r="AA149" i="2"/>
  <c r="AC182" i="1"/>
  <c r="AA182" i="1"/>
  <c r="AB182" i="1" s="1"/>
  <c r="Z180" i="1"/>
  <c r="AA162" i="1"/>
  <c r="AB162" i="1" s="1"/>
  <c r="AC162" i="1"/>
  <c r="AH130" i="1"/>
  <c r="AI130" i="1" s="1"/>
  <c r="AG129" i="1"/>
  <c r="AJ130" i="1"/>
  <c r="AH96" i="1"/>
  <c r="AI96" i="1" s="1"/>
  <c r="AJ38" i="1"/>
  <c r="AH38" i="1"/>
  <c r="AI38" i="1" s="1"/>
  <c r="AA14" i="2"/>
  <c r="Y14" i="2"/>
  <c r="Z14" i="2" s="1"/>
  <c r="AH168" i="1"/>
  <c r="AI168" i="1" s="1"/>
  <c r="AJ168" i="1"/>
  <c r="T191" i="1"/>
  <c r="U191" i="1" s="1"/>
  <c r="Z163" i="1"/>
  <c r="AA164" i="1"/>
  <c r="AB164" i="1" s="1"/>
  <c r="AC164" i="1"/>
  <c r="T101" i="1"/>
  <c r="U101" i="1" s="1"/>
  <c r="Z65" i="1"/>
  <c r="AA66" i="1"/>
  <c r="AB66" i="1" s="1"/>
  <c r="AC66" i="1"/>
  <c r="K41" i="5"/>
  <c r="J40" i="5"/>
  <c r="K40" i="5" s="1"/>
  <c r="Z28" i="1"/>
  <c r="AC30" i="1"/>
  <c r="AA30" i="1"/>
  <c r="AB30" i="1" s="1"/>
  <c r="W25" i="6"/>
  <c r="AI211" i="1"/>
  <c r="X25" i="6" s="1"/>
  <c r="P133" i="1"/>
  <c r="P132" i="1" s="1"/>
  <c r="P126" i="1" s="1"/>
  <c r="AJ177" i="1"/>
  <c r="AH177" i="1"/>
  <c r="AI177" i="1" s="1"/>
  <c r="AG174" i="1"/>
  <c r="AA158" i="1"/>
  <c r="AB158" i="1" s="1"/>
  <c r="Z157" i="1"/>
  <c r="AC158" i="1"/>
  <c r="T97" i="2"/>
  <c r="AF97" i="2"/>
  <c r="AG97" i="2" s="1"/>
  <c r="AH97" i="2"/>
  <c r="T14" i="2"/>
  <c r="S14" i="2"/>
  <c r="Z201" i="1"/>
  <c r="AA202" i="1"/>
  <c r="AB202" i="1" s="1"/>
  <c r="AC202" i="1"/>
  <c r="T141" i="1"/>
  <c r="U141" i="1" s="1"/>
  <c r="AC123" i="1"/>
  <c r="Z121" i="1"/>
  <c r="AA123" i="1"/>
  <c r="AB123" i="1" s="1"/>
  <c r="O114" i="1"/>
  <c r="N114" i="1"/>
  <c r="AH68" i="1"/>
  <c r="AI68" i="1" s="1"/>
  <c r="AG67" i="1"/>
  <c r="AJ68" i="1"/>
  <c r="T170" i="1"/>
  <c r="U170" i="1" s="1"/>
  <c r="S168" i="1"/>
  <c r="V168" i="1" s="1"/>
  <c r="T164" i="1"/>
  <c r="U164" i="1" s="1"/>
  <c r="S163" i="1"/>
  <c r="V163" i="1" s="1"/>
  <c r="T86" i="2"/>
  <c r="S86" i="2"/>
  <c r="AH72" i="2"/>
  <c r="AF72" i="2"/>
  <c r="AG72" i="2" s="1"/>
  <c r="T87" i="1"/>
  <c r="U87" i="1" s="1"/>
  <c r="T7" i="2"/>
  <c r="S7" i="2"/>
  <c r="T186" i="1"/>
  <c r="U186" i="1" s="1"/>
  <c r="AH166" i="1"/>
  <c r="AI166" i="1" s="1"/>
  <c r="AJ166" i="1"/>
  <c r="T70" i="1"/>
  <c r="U70" i="1" s="1"/>
  <c r="T131" i="1"/>
  <c r="U131" i="1" s="1"/>
  <c r="S129" i="1"/>
  <c r="V129" i="1" s="1"/>
  <c r="AH10" i="2"/>
  <c r="AF10" i="2"/>
  <c r="AG10" i="2" s="1"/>
  <c r="AH56" i="2"/>
  <c r="I41" i="5"/>
  <c r="H40" i="5"/>
  <c r="I40" i="5" s="1"/>
  <c r="S10" i="2"/>
  <c r="T10" i="2"/>
  <c r="T166" i="1"/>
  <c r="U166" i="1" s="1"/>
  <c r="AC148" i="1"/>
  <c r="AA148" i="1"/>
  <c r="AB148" i="1" s="1"/>
  <c r="AC75" i="1"/>
  <c r="AA75" i="1"/>
  <c r="AB75" i="1" s="1"/>
  <c r="Z74" i="1"/>
  <c r="AH145" i="2"/>
  <c r="AF145" i="2"/>
  <c r="AG145" i="2" s="1"/>
  <c r="AJ103" i="1"/>
  <c r="AH103" i="1"/>
  <c r="AI103" i="1" s="1"/>
  <c r="AA10" i="2"/>
  <c r="Y10" i="2"/>
  <c r="Z10" i="2" s="1"/>
  <c r="AH58" i="1"/>
  <c r="AI58" i="1" s="1"/>
  <c r="AJ58" i="1"/>
  <c r="Z24" i="1"/>
  <c r="P6" i="1" l="1"/>
  <c r="X6" i="2"/>
  <c r="AA6" i="2" s="1"/>
  <c r="AN7" i="2"/>
  <c r="AG10" i="1"/>
  <c r="AD6" i="1"/>
  <c r="Z10" i="1"/>
  <c r="Z6" i="1" s="1"/>
  <c r="S10" i="1"/>
  <c r="S6" i="1" s="1"/>
  <c r="W6" i="1"/>
  <c r="AI12" i="1"/>
  <c r="J6" i="7"/>
  <c r="AB12" i="1"/>
  <c r="H6" i="7"/>
  <c r="P9" i="6"/>
  <c r="J8" i="1"/>
  <c r="N13" i="1"/>
  <c r="D5" i="7"/>
  <c r="U12" i="1"/>
  <c r="F6" i="7"/>
  <c r="N12" i="1"/>
  <c r="D6" i="7"/>
  <c r="J5" i="7"/>
  <c r="AI13" i="1"/>
  <c r="U13" i="1"/>
  <c r="F5" i="7"/>
  <c r="H5" i="7"/>
  <c r="AB13" i="1"/>
  <c r="Y6" i="2"/>
  <c r="Z6" i="2" s="1"/>
  <c r="U14" i="16"/>
  <c r="K6" i="16"/>
  <c r="L9" i="16"/>
  <c r="P9" i="16" s="1"/>
  <c r="K7" i="16"/>
  <c r="L7" i="16" s="1"/>
  <c r="J142" i="1"/>
  <c r="U10" i="6"/>
  <c r="P10" i="6"/>
  <c r="AC48" i="1"/>
  <c r="AA48" i="1"/>
  <c r="AB48" i="1" s="1"/>
  <c r="AJ48" i="1"/>
  <c r="AH48" i="1"/>
  <c r="AI48" i="1" s="1"/>
  <c r="V48" i="1"/>
  <c r="T48" i="1"/>
  <c r="U48" i="1" s="1"/>
  <c r="O48" i="1"/>
  <c r="M48" i="1"/>
  <c r="N48" i="1" s="1"/>
  <c r="K10" i="6"/>
  <c r="P11" i="6"/>
  <c r="V42" i="1"/>
  <c r="S41" i="1"/>
  <c r="Z41" i="1"/>
  <c r="AG41" i="1"/>
  <c r="M42" i="1"/>
  <c r="N42" i="1" s="1"/>
  <c r="M43" i="1"/>
  <c r="N43" i="1" s="1"/>
  <c r="M45" i="1"/>
  <c r="N45" i="1" s="1"/>
  <c r="M51" i="1"/>
  <c r="N51" i="1" s="1"/>
  <c r="K11" i="6"/>
  <c r="E11" i="6"/>
  <c r="D8" i="10"/>
  <c r="AF30" i="2"/>
  <c r="AG30" i="2" s="1"/>
  <c r="T30" i="2"/>
  <c r="B64" i="5"/>
  <c r="I64" i="5" s="1"/>
  <c r="C18" i="6"/>
  <c r="B47" i="6" s="1"/>
  <c r="I47" i="6" s="1"/>
  <c r="P64" i="1"/>
  <c r="K18" i="6" s="1"/>
  <c r="M6" i="16"/>
  <c r="M7" i="16"/>
  <c r="M9" i="16"/>
  <c r="K9" i="5"/>
  <c r="J14" i="16"/>
  <c r="M9" i="5"/>
  <c r="H14" i="16"/>
  <c r="J126" i="1"/>
  <c r="E21" i="6" s="1"/>
  <c r="D50" i="6" s="1"/>
  <c r="H172" i="1"/>
  <c r="C23" i="6" s="1"/>
  <c r="B52" i="6" s="1"/>
  <c r="I52" i="6" s="1"/>
  <c r="I67" i="5"/>
  <c r="S185" i="1"/>
  <c r="AG185" i="1"/>
  <c r="AH9" i="2"/>
  <c r="AF9" i="2"/>
  <c r="AG9" i="2" s="1"/>
  <c r="R9" i="2"/>
  <c r="S9" i="2" s="1"/>
  <c r="T9" i="2"/>
  <c r="AA9" i="2"/>
  <c r="Y9" i="2"/>
  <c r="Z9" i="2" s="1"/>
  <c r="V65" i="1"/>
  <c r="D7" i="10"/>
  <c r="T43" i="1"/>
  <c r="U43" i="1" s="1"/>
  <c r="AH50" i="1"/>
  <c r="AI50" i="1" s="1"/>
  <c r="S35" i="1"/>
  <c r="V35" i="1" s="1"/>
  <c r="V36" i="1"/>
  <c r="M25" i="6"/>
  <c r="U211" i="1"/>
  <c r="N25" i="6" s="1"/>
  <c r="T51" i="1"/>
  <c r="U51" i="1" s="1"/>
  <c r="S23" i="1"/>
  <c r="V23" i="1" s="1"/>
  <c r="V28" i="1"/>
  <c r="F7" i="7"/>
  <c r="U9" i="1"/>
  <c r="N9" i="6" s="1"/>
  <c r="R30" i="2"/>
  <c r="S30" i="2" s="1"/>
  <c r="T45" i="1"/>
  <c r="U45" i="1" s="1"/>
  <c r="S49" i="1"/>
  <c r="V49" i="1" s="1"/>
  <c r="H7" i="5"/>
  <c r="J40" i="1"/>
  <c r="T50" i="1"/>
  <c r="U50" i="1" s="1"/>
  <c r="H30" i="5"/>
  <c r="AA30" i="2"/>
  <c r="Y30" i="2"/>
  <c r="Z30" i="2" s="1"/>
  <c r="L30" i="5"/>
  <c r="AH51" i="1"/>
  <c r="AI51" i="1" s="1"/>
  <c r="AJ51" i="1"/>
  <c r="AG49" i="1"/>
  <c r="AJ49" i="1" s="1"/>
  <c r="AH30" i="2"/>
  <c r="AC45" i="1"/>
  <c r="AA45" i="1"/>
  <c r="AB45" i="1" s="1"/>
  <c r="AA51" i="1"/>
  <c r="AB51" i="1" s="1"/>
  <c r="AC51" i="1"/>
  <c r="AC43" i="1"/>
  <c r="AA43" i="1"/>
  <c r="AB43" i="1" s="1"/>
  <c r="AC42" i="1"/>
  <c r="AA42" i="1"/>
  <c r="AB42" i="1" s="1"/>
  <c r="O50" i="1"/>
  <c r="L49" i="1"/>
  <c r="M50" i="1"/>
  <c r="N50" i="1" s="1"/>
  <c r="T42" i="1"/>
  <c r="U42" i="1" s="1"/>
  <c r="J7" i="5"/>
  <c r="J30" i="5"/>
  <c r="AJ45" i="1"/>
  <c r="AH45" i="1"/>
  <c r="AI45" i="1" s="1"/>
  <c r="Z49" i="1"/>
  <c r="AC50" i="1"/>
  <c r="AA50" i="1"/>
  <c r="AB50" i="1" s="1"/>
  <c r="AJ43" i="1"/>
  <c r="AH43" i="1"/>
  <c r="AI43" i="1" s="1"/>
  <c r="AJ42" i="1"/>
  <c r="AH42" i="1"/>
  <c r="AI42" i="1" s="1"/>
  <c r="E15" i="6"/>
  <c r="D44" i="6" s="1"/>
  <c r="C15" i="6"/>
  <c r="R9" i="6"/>
  <c r="AB9" i="1"/>
  <c r="S9" i="6" s="1"/>
  <c r="M9" i="6"/>
  <c r="C20" i="6"/>
  <c r="B49" i="6" s="1"/>
  <c r="I49" i="6" s="1"/>
  <c r="O24" i="6"/>
  <c r="N24" i="6"/>
  <c r="O26" i="6"/>
  <c r="O9" i="6"/>
  <c r="N86" i="1"/>
  <c r="N144" i="1"/>
  <c r="N122" i="1"/>
  <c r="N112" i="1"/>
  <c r="N156" i="1"/>
  <c r="J9" i="6"/>
  <c r="N9" i="1"/>
  <c r="I9" i="6" s="1"/>
  <c r="D8" i="6"/>
  <c r="K17" i="6"/>
  <c r="AC52" i="1"/>
  <c r="H9" i="6"/>
  <c r="AD172" i="1"/>
  <c r="U23" i="6" s="1"/>
  <c r="D21" i="6"/>
  <c r="C50" i="6" s="1"/>
  <c r="T76" i="1"/>
  <c r="U76" i="1" s="1"/>
  <c r="I21" i="5"/>
  <c r="K21" i="5"/>
  <c r="W172" i="1"/>
  <c r="P23" i="6" s="1"/>
  <c r="P172" i="1"/>
  <c r="K23" i="6" s="1"/>
  <c r="AG15" i="1"/>
  <c r="P15" i="6"/>
  <c r="AH16" i="1"/>
  <c r="AI16" i="1" s="1"/>
  <c r="U8" i="6"/>
  <c r="K15" i="6"/>
  <c r="U15" i="6"/>
  <c r="R25" i="6"/>
  <c r="P8" i="6"/>
  <c r="W9" i="6"/>
  <c r="AI9" i="1"/>
  <c r="X9" i="6" s="1"/>
  <c r="AH76" i="1"/>
  <c r="AI76" i="1" s="1"/>
  <c r="U20" i="6"/>
  <c r="U11" i="6"/>
  <c r="AC127" i="1"/>
  <c r="AA127" i="1"/>
  <c r="AB127" i="1" s="1"/>
  <c r="N26" i="6"/>
  <c r="M26" i="6"/>
  <c r="T36" i="1"/>
  <c r="U36" i="1" s="1"/>
  <c r="T56" i="1"/>
  <c r="U56" i="1" s="1"/>
  <c r="T28" i="1"/>
  <c r="U28" i="1" s="1"/>
  <c r="M85" i="1"/>
  <c r="O85" i="1"/>
  <c r="M100" i="1"/>
  <c r="O100" i="1"/>
  <c r="Z23" i="1"/>
  <c r="AC24" i="1"/>
  <c r="AA24" i="1"/>
  <c r="AB24" i="1" s="1"/>
  <c r="T163" i="1"/>
  <c r="U163" i="1" s="1"/>
  <c r="AJ174" i="1"/>
  <c r="AG173" i="1"/>
  <c r="AH174" i="1"/>
  <c r="AI174" i="1" s="1"/>
  <c r="K21" i="6"/>
  <c r="K8" i="6"/>
  <c r="AC163" i="1"/>
  <c r="AA163" i="1"/>
  <c r="AB163" i="1" s="1"/>
  <c r="T58" i="1"/>
  <c r="U58" i="1" s="1"/>
  <c r="O65" i="1"/>
  <c r="M65" i="1"/>
  <c r="N65" i="1" s="1"/>
  <c r="S132" i="1"/>
  <c r="V132" i="1" s="1"/>
  <c r="T133" i="1"/>
  <c r="U133" i="1" s="1"/>
  <c r="AH180" i="1"/>
  <c r="AI180" i="1" s="1"/>
  <c r="AJ180" i="1"/>
  <c r="S106" i="1"/>
  <c r="T107" i="1"/>
  <c r="U107" i="1" s="1"/>
  <c r="AC186" i="1"/>
  <c r="AA186" i="1"/>
  <c r="AB186" i="1" s="1"/>
  <c r="AH195" i="1"/>
  <c r="AI195" i="1" s="1"/>
  <c r="AJ195" i="1"/>
  <c r="T72" i="1"/>
  <c r="U72" i="1" s="1"/>
  <c r="T180" i="1"/>
  <c r="U180" i="1" s="1"/>
  <c r="AC28" i="1"/>
  <c r="AA28" i="1"/>
  <c r="AB28" i="1" s="1"/>
  <c r="T100" i="1"/>
  <c r="U100" i="1" s="1"/>
  <c r="AJ94" i="1"/>
  <c r="AH94" i="1"/>
  <c r="AI94" i="1" s="1"/>
  <c r="AA107" i="1"/>
  <c r="AB107" i="1" s="1"/>
  <c r="AC107" i="1"/>
  <c r="M24" i="6"/>
  <c r="AC132" i="1"/>
  <c r="AA132" i="1"/>
  <c r="AB132" i="1" s="1"/>
  <c r="Z126" i="1"/>
  <c r="T17" i="1"/>
  <c r="U17" i="1" s="1"/>
  <c r="S16" i="1"/>
  <c r="V16" i="1" s="1"/>
  <c r="T65" i="1"/>
  <c r="U65" i="1" s="1"/>
  <c r="AC36" i="1"/>
  <c r="Z35" i="1"/>
  <c r="AA36" i="1"/>
  <c r="AB36" i="1" s="1"/>
  <c r="S52" i="1"/>
  <c r="V52" i="1" s="1"/>
  <c r="T53" i="1"/>
  <c r="U53" i="1" s="1"/>
  <c r="T92" i="1"/>
  <c r="U92" i="1" s="1"/>
  <c r="AA58" i="1"/>
  <c r="AB58" i="1" s="1"/>
  <c r="AC58" i="1"/>
  <c r="AA94" i="1"/>
  <c r="AB94" i="1" s="1"/>
  <c r="AC94" i="1"/>
  <c r="Z80" i="1"/>
  <c r="AJ23" i="1"/>
  <c r="AH23" i="1"/>
  <c r="AI23" i="1" s="1"/>
  <c r="AA67" i="1"/>
  <c r="AB67" i="1" s="1"/>
  <c r="AC67" i="1"/>
  <c r="AC174" i="1"/>
  <c r="Z173" i="1"/>
  <c r="AA174" i="1"/>
  <c r="AB174" i="1" s="1"/>
  <c r="T174" i="1"/>
  <c r="U174" i="1" s="1"/>
  <c r="S173" i="1"/>
  <c r="V173" i="1" s="1"/>
  <c r="AA74" i="1"/>
  <c r="AB74" i="1" s="1"/>
  <c r="AC74" i="1"/>
  <c r="T129" i="1"/>
  <c r="U129" i="1" s="1"/>
  <c r="S127" i="1"/>
  <c r="V127" i="1" s="1"/>
  <c r="T85" i="1"/>
  <c r="U85" i="1" s="1"/>
  <c r="T168" i="1"/>
  <c r="U168" i="1" s="1"/>
  <c r="AA157" i="1"/>
  <c r="AB157" i="1" s="1"/>
  <c r="AC157" i="1"/>
  <c r="Z153" i="1"/>
  <c r="AA65" i="1"/>
  <c r="AB65" i="1" s="1"/>
  <c r="AC65" i="1"/>
  <c r="Z64" i="1"/>
  <c r="T190" i="1"/>
  <c r="U190" i="1" s="1"/>
  <c r="AJ201" i="1"/>
  <c r="AH201" i="1"/>
  <c r="AI201" i="1" s="1"/>
  <c r="AC102" i="1"/>
  <c r="AJ107" i="1"/>
  <c r="AH107" i="1"/>
  <c r="AI107" i="1" s="1"/>
  <c r="AG106" i="1"/>
  <c r="S67" i="1"/>
  <c r="T68" i="1"/>
  <c r="U68" i="1" s="1"/>
  <c r="Q24" i="6"/>
  <c r="AA207" i="1"/>
  <c r="AC207" i="1"/>
  <c r="T24" i="6" s="1"/>
  <c r="AJ148" i="1"/>
  <c r="AH148" i="1"/>
  <c r="AI148" i="1" s="1"/>
  <c r="W26" i="6"/>
  <c r="AI213" i="1"/>
  <c r="X26" i="6" s="1"/>
  <c r="AA168" i="1"/>
  <c r="AB168" i="1" s="1"/>
  <c r="AC168" i="1"/>
  <c r="AH35" i="1"/>
  <c r="AI35" i="1" s="1"/>
  <c r="AJ35" i="1"/>
  <c r="AG32" i="1"/>
  <c r="AH157" i="1"/>
  <c r="AI157" i="1" s="1"/>
  <c r="AJ157" i="1"/>
  <c r="AG153" i="1"/>
  <c r="AG142" i="1" s="1"/>
  <c r="T143" i="1"/>
  <c r="U143" i="1" s="1"/>
  <c r="S153" i="1"/>
  <c r="V153" i="1" s="1"/>
  <c r="T157" i="1"/>
  <c r="U157" i="1" s="1"/>
  <c r="AJ102" i="1"/>
  <c r="AJ67" i="1"/>
  <c r="AH67" i="1"/>
  <c r="AI67" i="1" s="1"/>
  <c r="AG64" i="1"/>
  <c r="Z120" i="1"/>
  <c r="AC121" i="1"/>
  <c r="AA121" i="1"/>
  <c r="AB121" i="1" s="1"/>
  <c r="AC201" i="1"/>
  <c r="AA201" i="1"/>
  <c r="AB201" i="1" s="1"/>
  <c r="AH129" i="1"/>
  <c r="AI129" i="1" s="1"/>
  <c r="AG127" i="1"/>
  <c r="AJ129" i="1"/>
  <c r="AC180" i="1"/>
  <c r="AA180" i="1"/>
  <c r="AB180" i="1" s="1"/>
  <c r="AJ143" i="1"/>
  <c r="AH143" i="1"/>
  <c r="AI143" i="1" s="1"/>
  <c r="T139" i="1"/>
  <c r="U139" i="1" s="1"/>
  <c r="W24" i="6"/>
  <c r="AI207" i="1"/>
  <c r="X24" i="6" s="1"/>
  <c r="AJ84" i="1"/>
  <c r="AH84" i="1"/>
  <c r="AI84" i="1" s="1"/>
  <c r="T195" i="1"/>
  <c r="U195" i="1" s="1"/>
  <c r="AA84" i="1"/>
  <c r="AB84" i="1" s="1"/>
  <c r="AC84" i="1"/>
  <c r="T120" i="1"/>
  <c r="U120" i="1" s="1"/>
  <c r="AJ53" i="1"/>
  <c r="AG52" i="1"/>
  <c r="AH53" i="1"/>
  <c r="AI53" i="1" s="1"/>
  <c r="AC72" i="1"/>
  <c r="AA72" i="1"/>
  <c r="AB72" i="1" s="1"/>
  <c r="AH186" i="1"/>
  <c r="AI186" i="1" s="1"/>
  <c r="AJ186" i="1"/>
  <c r="T202" i="1"/>
  <c r="U202" i="1" s="1"/>
  <c r="S201" i="1"/>
  <c r="V201" i="1" s="1"/>
  <c r="AC143" i="1"/>
  <c r="AA143" i="1"/>
  <c r="AB143" i="1" s="1"/>
  <c r="U81" i="1"/>
  <c r="C6" i="6" l="1"/>
  <c r="B44" i="6"/>
  <c r="I44" i="6" s="1"/>
  <c r="L6" i="16"/>
  <c r="P6" i="16" s="1"/>
  <c r="K14" i="16"/>
  <c r="L14" i="16" s="1"/>
  <c r="P14" i="16" s="1"/>
  <c r="P6" i="6"/>
  <c r="U6" i="6"/>
  <c r="K6" i="6"/>
  <c r="B9" i="7"/>
  <c r="N13" i="16"/>
  <c r="K13" i="16"/>
  <c r="L13" i="16" s="1"/>
  <c r="P7" i="16"/>
  <c r="I13" i="16"/>
  <c r="M13" i="16"/>
  <c r="D9" i="10"/>
  <c r="L10" i="7" s="1"/>
  <c r="E8" i="6"/>
  <c r="J16" i="16"/>
  <c r="M14" i="16"/>
  <c r="H16" i="16"/>
  <c r="H3" i="16" s="1"/>
  <c r="I14" i="16"/>
  <c r="T35" i="1"/>
  <c r="U35" i="1" s="1"/>
  <c r="J39" i="1"/>
  <c r="T23" i="1"/>
  <c r="U23" i="1" s="1"/>
  <c r="L9" i="7"/>
  <c r="AG40" i="1"/>
  <c r="S32" i="1"/>
  <c r="V32" i="1" s="1"/>
  <c r="S64" i="1"/>
  <c r="V64" i="1" s="1"/>
  <c r="V67" i="1"/>
  <c r="V11" i="1"/>
  <c r="V106" i="1"/>
  <c r="T185" i="1"/>
  <c r="U185" i="1" s="1"/>
  <c r="V185" i="1"/>
  <c r="S40" i="1"/>
  <c r="V41" i="1"/>
  <c r="T6" i="2"/>
  <c r="T49" i="1"/>
  <c r="U49" i="1" s="1"/>
  <c r="B8" i="7"/>
  <c r="L8" i="7"/>
  <c r="AH49" i="1"/>
  <c r="AI49" i="1" s="1"/>
  <c r="AA49" i="1"/>
  <c r="AB49" i="1" s="1"/>
  <c r="AC49" i="1"/>
  <c r="AJ41" i="1"/>
  <c r="AH41" i="1"/>
  <c r="AI41" i="1" s="1"/>
  <c r="O49" i="1"/>
  <c r="M49" i="1"/>
  <c r="N49" i="1" s="1"/>
  <c r="T41" i="1"/>
  <c r="U41" i="1" s="1"/>
  <c r="AC41" i="1"/>
  <c r="Z40" i="1"/>
  <c r="AA41" i="1"/>
  <c r="AB41" i="1" s="1"/>
  <c r="C11" i="6"/>
  <c r="AJ15" i="1"/>
  <c r="Y15" i="6" s="1"/>
  <c r="C8" i="6"/>
  <c r="N100" i="1"/>
  <c r="N85" i="1"/>
  <c r="V15" i="6"/>
  <c r="AH15" i="1"/>
  <c r="AI15" i="1" s="1"/>
  <c r="X15" i="6" s="1"/>
  <c r="E22" i="6"/>
  <c r="D51" i="6" s="1"/>
  <c r="S80" i="1"/>
  <c r="V80" i="1" s="1"/>
  <c r="O84" i="1"/>
  <c r="M84" i="1"/>
  <c r="T67" i="1"/>
  <c r="U67" i="1" s="1"/>
  <c r="AA91" i="1"/>
  <c r="AB91" i="1" s="1"/>
  <c r="AC91" i="1"/>
  <c r="AA185" i="1"/>
  <c r="AB185" i="1" s="1"/>
  <c r="AC185" i="1"/>
  <c r="AJ52" i="1"/>
  <c r="AH52" i="1"/>
  <c r="AI52" i="1" s="1"/>
  <c r="AH91" i="1"/>
  <c r="AI91" i="1" s="1"/>
  <c r="AJ91" i="1"/>
  <c r="AJ127" i="1"/>
  <c r="AH127" i="1"/>
  <c r="AI127" i="1" s="1"/>
  <c r="AH64" i="1"/>
  <c r="AJ64" i="1"/>
  <c r="Y18" i="6" s="1"/>
  <c r="V18" i="6"/>
  <c r="R24" i="6"/>
  <c r="AB207" i="1"/>
  <c r="S24" i="6" s="1"/>
  <c r="V20" i="6"/>
  <c r="AH106" i="1"/>
  <c r="AJ106" i="1"/>
  <c r="Y20" i="6" s="1"/>
  <c r="I9" i="7"/>
  <c r="AC64" i="1"/>
  <c r="T18" i="6" s="1"/>
  <c r="Q18" i="6"/>
  <c r="AA64" i="1"/>
  <c r="AA153" i="1"/>
  <c r="AB153" i="1" s="1"/>
  <c r="AC153" i="1"/>
  <c r="T127" i="1"/>
  <c r="U127" i="1" s="1"/>
  <c r="S126" i="1"/>
  <c r="V126" i="1" s="1"/>
  <c r="T52" i="1"/>
  <c r="U52" i="1" s="1"/>
  <c r="T16" i="1"/>
  <c r="U16" i="1" s="1"/>
  <c r="S15" i="1"/>
  <c r="T132" i="1"/>
  <c r="U132" i="1" s="1"/>
  <c r="Z142" i="1"/>
  <c r="Q19" i="6"/>
  <c r="AC80" i="1"/>
  <c r="T19" i="6" s="1"/>
  <c r="AH142" i="1"/>
  <c r="V22" i="6"/>
  <c r="AJ142" i="1"/>
  <c r="Y22" i="6" s="1"/>
  <c r="AC120" i="1"/>
  <c r="AA120" i="1"/>
  <c r="AB120" i="1" s="1"/>
  <c r="V16" i="6"/>
  <c r="AJ32" i="1"/>
  <c r="Y16" i="6" s="1"/>
  <c r="AH32" i="1"/>
  <c r="T84" i="1"/>
  <c r="U84" i="1" s="1"/>
  <c r="S172" i="1"/>
  <c r="V172" i="1" s="1"/>
  <c r="T173" i="1"/>
  <c r="U173" i="1" s="1"/>
  <c r="Z172" i="1"/>
  <c r="AA173" i="1"/>
  <c r="AB173" i="1" s="1"/>
  <c r="AC173" i="1"/>
  <c r="AA35" i="1"/>
  <c r="AB35" i="1" s="1"/>
  <c r="AC35" i="1"/>
  <c r="Z32" i="1"/>
  <c r="Z106" i="1"/>
  <c r="L20" i="6"/>
  <c r="T106" i="1"/>
  <c r="U106" i="1" s="1"/>
  <c r="AJ185" i="1"/>
  <c r="AH185" i="1"/>
  <c r="AI185" i="1" s="1"/>
  <c r="AG80" i="1"/>
  <c r="T153" i="1"/>
  <c r="U153" i="1" s="1"/>
  <c r="AH153" i="1"/>
  <c r="AI153" i="1" s="1"/>
  <c r="AJ153" i="1"/>
  <c r="T201" i="1"/>
  <c r="U201" i="1" s="1"/>
  <c r="S142" i="1"/>
  <c r="V142" i="1" s="1"/>
  <c r="T91" i="1"/>
  <c r="U91" i="1" s="1"/>
  <c r="Q21" i="6"/>
  <c r="AC126" i="1"/>
  <c r="T21" i="6" s="1"/>
  <c r="AA126" i="1"/>
  <c r="AH173" i="1"/>
  <c r="AI173" i="1" s="1"/>
  <c r="AG172" i="1"/>
  <c r="AJ173" i="1"/>
  <c r="AC23" i="1"/>
  <c r="AA23" i="1"/>
  <c r="AB23" i="1" s="1"/>
  <c r="Z15" i="1"/>
  <c r="D13" i="10" l="1"/>
  <c r="L11" i="7" s="1"/>
  <c r="G10" i="7"/>
  <c r="V40" i="1"/>
  <c r="P13" i="16"/>
  <c r="J3" i="16"/>
  <c r="I10" i="7"/>
  <c r="T32" i="1"/>
  <c r="U32" i="1" s="1"/>
  <c r="N16" i="6" s="1"/>
  <c r="L16" i="6"/>
  <c r="E17" i="6"/>
  <c r="D46" i="6" s="1"/>
  <c r="S39" i="1"/>
  <c r="V39" i="1" s="1"/>
  <c r="AG39" i="1"/>
  <c r="AJ40" i="1"/>
  <c r="AH40" i="1"/>
  <c r="AI40" i="1" s="1"/>
  <c r="L18" i="6"/>
  <c r="T64" i="1"/>
  <c r="U64" i="1" s="1"/>
  <c r="N18" i="6" s="1"/>
  <c r="E9" i="7"/>
  <c r="T40" i="1"/>
  <c r="U40" i="1" s="1"/>
  <c r="V15" i="1"/>
  <c r="B11" i="7"/>
  <c r="Z39" i="1"/>
  <c r="AC40" i="1"/>
  <c r="AA40" i="1"/>
  <c r="AB40" i="1" s="1"/>
  <c r="W15" i="6"/>
  <c r="O20" i="6"/>
  <c r="O16" i="6"/>
  <c r="O19" i="6"/>
  <c r="O18" i="6"/>
  <c r="N84" i="1"/>
  <c r="AC8" i="1"/>
  <c r="T8" i="6" s="1"/>
  <c r="G8" i="7"/>
  <c r="L19" i="6"/>
  <c r="AA8" i="1"/>
  <c r="Q8" i="6"/>
  <c r="N20" i="6"/>
  <c r="M20" i="6"/>
  <c r="Q23" i="6"/>
  <c r="AA172" i="1"/>
  <c r="AC172" i="1"/>
  <c r="T23" i="6" s="1"/>
  <c r="W22" i="6"/>
  <c r="AI142" i="1"/>
  <c r="X22" i="6" s="1"/>
  <c r="AA142" i="1"/>
  <c r="Q22" i="6"/>
  <c r="AC142" i="1"/>
  <c r="T22" i="6" s="1"/>
  <c r="AB64" i="1"/>
  <c r="S18" i="6" s="1"/>
  <c r="R18" i="6"/>
  <c r="W18" i="6"/>
  <c r="AI64" i="1"/>
  <c r="X18" i="6" s="1"/>
  <c r="T142" i="1"/>
  <c r="U142" i="1" s="1"/>
  <c r="L22" i="6"/>
  <c r="Q20" i="6"/>
  <c r="AC106" i="1"/>
  <c r="T20" i="6" s="1"/>
  <c r="AA106" i="1"/>
  <c r="G9" i="7"/>
  <c r="W16" i="6"/>
  <c r="AI32" i="1"/>
  <c r="X16" i="6" s="1"/>
  <c r="W20" i="6"/>
  <c r="AI106" i="1"/>
  <c r="X20" i="6" s="1"/>
  <c r="T11" i="1"/>
  <c r="L11" i="6"/>
  <c r="T172" i="1"/>
  <c r="U172" i="1" s="1"/>
  <c r="L23" i="6"/>
  <c r="Q15" i="6"/>
  <c r="AA15" i="1"/>
  <c r="AC15" i="1"/>
  <c r="T15" i="6" s="1"/>
  <c r="AJ172" i="1"/>
  <c r="Y23" i="6" s="1"/>
  <c r="AH172" i="1"/>
  <c r="V23" i="6"/>
  <c r="AB126" i="1"/>
  <c r="S21" i="6" s="1"/>
  <c r="R21" i="6"/>
  <c r="AJ80" i="1"/>
  <c r="Y19" i="6" s="1"/>
  <c r="V19" i="6"/>
  <c r="Q16" i="6"/>
  <c r="AC32" i="1"/>
  <c r="T16" i="6" s="1"/>
  <c r="AA32" i="1"/>
  <c r="L15" i="6"/>
  <c r="T15" i="1"/>
  <c r="U15" i="1" s="1"/>
  <c r="L21" i="6"/>
  <c r="T126" i="1"/>
  <c r="U126" i="1" s="1"/>
  <c r="AJ11" i="1"/>
  <c r="Y11" i="6" s="1"/>
  <c r="AH11" i="1"/>
  <c r="J9" i="7" s="1"/>
  <c r="V11" i="6"/>
  <c r="V6" i="1" l="1"/>
  <c r="V17" i="6"/>
  <c r="V10" i="1"/>
  <c r="E10" i="7"/>
  <c r="G11" i="7"/>
  <c r="AJ10" i="1"/>
  <c r="Y10" i="6" s="1"/>
  <c r="V10" i="6"/>
  <c r="M16" i="6"/>
  <c r="L17" i="6"/>
  <c r="T39" i="1"/>
  <c r="U39" i="1" s="1"/>
  <c r="N17" i="6" s="1"/>
  <c r="AJ39" i="1"/>
  <c r="Y17" i="6" s="1"/>
  <c r="AH39" i="1"/>
  <c r="AI39" i="1" s="1"/>
  <c r="X17" i="6" s="1"/>
  <c r="M18" i="6"/>
  <c r="E8" i="7"/>
  <c r="V8" i="1"/>
  <c r="F9" i="7"/>
  <c r="U11" i="1"/>
  <c r="N11" i="6" s="1"/>
  <c r="AA39" i="1"/>
  <c r="Q17" i="6"/>
  <c r="AC39" i="1"/>
  <c r="T17" i="6" s="1"/>
  <c r="O23" i="6"/>
  <c r="O21" i="6"/>
  <c r="N21" i="6"/>
  <c r="O15" i="6"/>
  <c r="O22" i="6"/>
  <c r="N22" i="6"/>
  <c r="O17" i="6"/>
  <c r="O11" i="6"/>
  <c r="AB8" i="1"/>
  <c r="S8" i="6" s="1"/>
  <c r="H8" i="7"/>
  <c r="R8" i="6"/>
  <c r="Q10" i="6"/>
  <c r="AC10" i="1"/>
  <c r="T10" i="6" s="1"/>
  <c r="M23" i="6"/>
  <c r="N23" i="6"/>
  <c r="L8" i="6"/>
  <c r="T8" i="1"/>
  <c r="L10" i="6"/>
  <c r="Q11" i="6"/>
  <c r="AA11" i="1"/>
  <c r="H9" i="7" s="1"/>
  <c r="AC11" i="1"/>
  <c r="T11" i="6" s="1"/>
  <c r="W11" i="6"/>
  <c r="AI11" i="1"/>
  <c r="X11" i="6" s="1"/>
  <c r="M21" i="6"/>
  <c r="R16" i="6"/>
  <c r="AB32" i="1"/>
  <c r="S16" i="6" s="1"/>
  <c r="W23" i="6"/>
  <c r="AI172" i="1"/>
  <c r="X23" i="6" s="1"/>
  <c r="R15" i="6"/>
  <c r="AB15" i="1"/>
  <c r="S15" i="6" s="1"/>
  <c r="AB106" i="1"/>
  <c r="S20" i="6" s="1"/>
  <c r="R20" i="6"/>
  <c r="M22" i="6"/>
  <c r="M15" i="6"/>
  <c r="N15" i="6"/>
  <c r="Q6" i="6"/>
  <c r="AC6" i="1"/>
  <c r="T6" i="6" s="1"/>
  <c r="M11" i="6"/>
  <c r="AB142" i="1"/>
  <c r="S22" i="6" s="1"/>
  <c r="R22" i="6"/>
  <c r="R23" i="6"/>
  <c r="AB172" i="1"/>
  <c r="S23" i="6" s="1"/>
  <c r="E11" i="7" l="1"/>
  <c r="L6" i="6"/>
  <c r="M17" i="6"/>
  <c r="W17" i="6"/>
  <c r="F8" i="7"/>
  <c r="U8" i="1"/>
  <c r="N8" i="6" s="1"/>
  <c r="AB39" i="1"/>
  <c r="S17" i="6" s="1"/>
  <c r="R17" i="6"/>
  <c r="O8" i="6"/>
  <c r="O6" i="6"/>
  <c r="O10" i="6"/>
  <c r="M8" i="6"/>
  <c r="R11" i="6"/>
  <c r="AB11" i="1"/>
  <c r="S11" i="6" s="1"/>
  <c r="AH92" i="2" l="1"/>
  <c r="AF92" i="2"/>
  <c r="AG92" i="2" s="1"/>
  <c r="AG136" i="1"/>
  <c r="AG8" i="1" s="1"/>
  <c r="AG6" i="1" s="1"/>
  <c r="M13" i="5" l="1"/>
  <c r="AH7" i="2"/>
  <c r="AF7" i="2"/>
  <c r="AG7" i="2" s="1"/>
  <c r="AJ136" i="1"/>
  <c r="AG133" i="1"/>
  <c r="AH136" i="1"/>
  <c r="AI136" i="1" s="1"/>
  <c r="AH86" i="2"/>
  <c r="AF86" i="2"/>
  <c r="AG86" i="2" s="1"/>
  <c r="M24" i="5"/>
  <c r="L21" i="5"/>
  <c r="M21" i="5" s="1"/>
  <c r="AG132" i="1" l="1"/>
  <c r="AJ133" i="1"/>
  <c r="AH133" i="1"/>
  <c r="AI133" i="1" s="1"/>
  <c r="AH6" i="2"/>
  <c r="AJ132" i="1" l="1"/>
  <c r="AH132" i="1"/>
  <c r="AI132" i="1" s="1"/>
  <c r="AG126" i="1"/>
  <c r="AH126" i="1" l="1"/>
  <c r="V21" i="6"/>
  <c r="AJ126" i="1"/>
  <c r="Y21" i="6" s="1"/>
  <c r="I8" i="7" l="1"/>
  <c r="V8" i="6"/>
  <c r="AJ8" i="1"/>
  <c r="Y8" i="6" s="1"/>
  <c r="AH8" i="1"/>
  <c r="I11" i="7"/>
  <c r="AJ6" i="1"/>
  <c r="Y6" i="6" s="1"/>
  <c r="V6" i="6"/>
  <c r="AI126" i="1"/>
  <c r="X21" i="6" s="1"/>
  <c r="W21" i="6"/>
  <c r="J8" i="7" l="1"/>
  <c r="W8" i="6"/>
  <c r="AI8" i="1"/>
  <c r="X8" i="6" s="1"/>
  <c r="M37" i="5" l="1"/>
  <c r="S71" i="2"/>
  <c r="AF71" i="2"/>
  <c r="AG71" i="2" s="1"/>
  <c r="Y71" i="2"/>
  <c r="Z71" i="2" s="1"/>
  <c r="M16" i="5"/>
  <c r="K71" i="2"/>
  <c r="H71" i="2"/>
  <c r="H9" i="2" s="1"/>
  <c r="H6" i="2" s="1"/>
  <c r="H56" i="2" l="1"/>
  <c r="S56" i="2"/>
  <c r="D37" i="5"/>
  <c r="J105" i="1"/>
  <c r="K16" i="5"/>
  <c r="I37" i="5"/>
  <c r="I7" i="5"/>
  <c r="K37" i="5"/>
  <c r="AH102" i="1"/>
  <c r="AI102" i="1" s="1"/>
  <c r="AA102" i="1"/>
  <c r="AB102" i="1" s="1"/>
  <c r="AH104" i="1"/>
  <c r="AI104" i="1" s="1"/>
  <c r="AA104" i="1"/>
  <c r="AB104" i="1" s="1"/>
  <c r="B30" i="5"/>
  <c r="I16" i="5"/>
  <c r="Y56" i="2"/>
  <c r="Z56" i="2" s="1"/>
  <c r="T104" i="1"/>
  <c r="U104" i="1" s="1"/>
  <c r="AF56" i="2"/>
  <c r="AG56" i="2" s="1"/>
  <c r="D16" i="5"/>
  <c r="D72" i="5" s="1"/>
  <c r="J102" i="1" l="1"/>
  <c r="M7" i="5"/>
  <c r="K7" i="5"/>
  <c r="B10" i="7"/>
  <c r="AH10" i="1"/>
  <c r="C10" i="6"/>
  <c r="AA10" i="1"/>
  <c r="H10" i="7" s="1"/>
  <c r="T10" i="1"/>
  <c r="U10" i="1" s="1"/>
  <c r="M30" i="5"/>
  <c r="K30" i="5"/>
  <c r="I30" i="5"/>
  <c r="AH80" i="1"/>
  <c r="AA80" i="1"/>
  <c r="C19" i="6"/>
  <c r="B48" i="6" s="1"/>
  <c r="T80" i="1"/>
  <c r="U80" i="1" s="1"/>
  <c r="J10" i="7" l="1"/>
  <c r="AI10" i="1"/>
  <c r="I48" i="6"/>
  <c r="B43" i="6"/>
  <c r="I43" i="6" s="1"/>
  <c r="J80" i="1"/>
  <c r="W10" i="6"/>
  <c r="X10" i="6"/>
  <c r="AH6" i="1"/>
  <c r="AA6" i="1"/>
  <c r="T6" i="1"/>
  <c r="U6" i="1" s="1"/>
  <c r="AB80" i="1"/>
  <c r="S19" i="6" s="1"/>
  <c r="R19" i="6"/>
  <c r="AB10" i="1"/>
  <c r="S10" i="6" s="1"/>
  <c r="R10" i="6"/>
  <c r="AI80" i="1"/>
  <c r="X19" i="6" s="1"/>
  <c r="W19" i="6"/>
  <c r="M10" i="6"/>
  <c r="N10" i="6"/>
  <c r="F10" i="7"/>
  <c r="M19" i="6"/>
  <c r="N19" i="6"/>
  <c r="E19" i="6" l="1"/>
  <c r="D48" i="6" s="1"/>
  <c r="N6" i="6"/>
  <c r="M6" i="6"/>
  <c r="F11" i="7"/>
  <c r="AI6" i="1"/>
  <c r="X6" i="6" s="1"/>
  <c r="J11" i="7"/>
  <c r="W6" i="6"/>
  <c r="R6" i="6"/>
  <c r="H11" i="7"/>
  <c r="AB6" i="1"/>
  <c r="S6" i="6" s="1"/>
  <c r="F37" i="5" l="1"/>
  <c r="G37" i="5" s="1"/>
  <c r="L189" i="1"/>
  <c r="K131" i="2"/>
  <c r="M131" i="2"/>
  <c r="M118" i="2"/>
  <c r="L171" i="1"/>
  <c r="K118" i="2"/>
  <c r="L159" i="1"/>
  <c r="K109" i="2"/>
  <c r="M109" i="2"/>
  <c r="M90" i="2"/>
  <c r="K90" i="2"/>
  <c r="L134" i="1"/>
  <c r="K75" i="2"/>
  <c r="L111" i="1"/>
  <c r="M75" i="2"/>
  <c r="L93" i="1"/>
  <c r="M63" i="2"/>
  <c r="K63" i="2"/>
  <c r="M42" i="2"/>
  <c r="L57" i="1"/>
  <c r="K42" i="2"/>
  <c r="L214" i="1"/>
  <c r="K152" i="2"/>
  <c r="J151" i="2"/>
  <c r="M151" i="2" s="1"/>
  <c r="F42" i="5"/>
  <c r="M152" i="2"/>
  <c r="L26" i="1"/>
  <c r="M21" i="2"/>
  <c r="M135" i="2"/>
  <c r="K135" i="2"/>
  <c r="G18" i="5"/>
  <c r="L194" i="1"/>
  <c r="G27" i="5"/>
  <c r="K126" i="2"/>
  <c r="M126" i="2"/>
  <c r="L182" i="1"/>
  <c r="M117" i="2"/>
  <c r="L170" i="1"/>
  <c r="K117" i="2"/>
  <c r="L158" i="1"/>
  <c r="K108" i="2"/>
  <c r="M108" i="2"/>
  <c r="M89" i="2"/>
  <c r="L131" i="1"/>
  <c r="K89" i="2"/>
  <c r="J72" i="2"/>
  <c r="M74" i="2"/>
  <c r="L109" i="1"/>
  <c r="K74" i="2"/>
  <c r="L75" i="1"/>
  <c r="L62" i="1"/>
  <c r="G26" i="5"/>
  <c r="M45" i="2"/>
  <c r="K45" i="2"/>
  <c r="L55" i="1"/>
  <c r="M41" i="2"/>
  <c r="K41" i="2"/>
  <c r="L46" i="1"/>
  <c r="M35" i="2"/>
  <c r="K35" i="2"/>
  <c r="J149" i="2"/>
  <c r="K150" i="2"/>
  <c r="M150" i="2"/>
  <c r="L212" i="1"/>
  <c r="F32" i="5"/>
  <c r="G32" i="5" s="1"/>
  <c r="K24" i="2"/>
  <c r="L30" i="1"/>
  <c r="M24" i="2"/>
  <c r="K20" i="2"/>
  <c r="L25" i="1"/>
  <c r="M20" i="2"/>
  <c r="F31" i="5"/>
  <c r="L204" i="1"/>
  <c r="L202" i="1" s="1"/>
  <c r="M142" i="2"/>
  <c r="G35" i="5"/>
  <c r="K142" i="2"/>
  <c r="L192" i="1"/>
  <c r="K133" i="2"/>
  <c r="M133" i="2"/>
  <c r="M129" i="2"/>
  <c r="L187" i="1"/>
  <c r="K129" i="2"/>
  <c r="K125" i="2"/>
  <c r="L181" i="1"/>
  <c r="M125" i="2"/>
  <c r="M121" i="2"/>
  <c r="K121" i="2"/>
  <c r="L176" i="1"/>
  <c r="K116" i="2"/>
  <c r="L169" i="1"/>
  <c r="M116" i="2"/>
  <c r="M111" i="2"/>
  <c r="K111" i="2"/>
  <c r="L161" i="1"/>
  <c r="K106" i="2"/>
  <c r="L155" i="1"/>
  <c r="M106" i="2"/>
  <c r="K95" i="2"/>
  <c r="M95" i="2"/>
  <c r="L140" i="1"/>
  <c r="M88" i="2"/>
  <c r="K88" i="2"/>
  <c r="L130" i="1"/>
  <c r="M79" i="2"/>
  <c r="L116" i="1"/>
  <c r="L104" i="1"/>
  <c r="L102" i="1" s="1"/>
  <c r="M70" i="2"/>
  <c r="K70" i="2"/>
  <c r="L83" i="1"/>
  <c r="M83" i="1" s="1"/>
  <c r="M58" i="2"/>
  <c r="F39" i="5"/>
  <c r="G39" i="5" s="1"/>
  <c r="F19" i="5"/>
  <c r="G19" i="5" s="1"/>
  <c r="L71" i="1"/>
  <c r="L61" i="1"/>
  <c r="K44" i="2"/>
  <c r="G17" i="5"/>
  <c r="M44" i="2"/>
  <c r="M40" i="2"/>
  <c r="K40" i="2"/>
  <c r="L54" i="1"/>
  <c r="G16" i="5"/>
  <c r="M28" i="2"/>
  <c r="K28" i="2"/>
  <c r="L37" i="1"/>
  <c r="L209" i="1"/>
  <c r="M147" i="2"/>
  <c r="K23" i="2"/>
  <c r="L29" i="1"/>
  <c r="M23" i="2"/>
  <c r="M16" i="2"/>
  <c r="K16" i="2"/>
  <c r="L19" i="1"/>
  <c r="K136" i="2"/>
  <c r="M136" i="2"/>
  <c r="L196" i="1"/>
  <c r="K127" i="2"/>
  <c r="L183" i="1"/>
  <c r="M127" i="2"/>
  <c r="M123" i="2"/>
  <c r="L178" i="1"/>
  <c r="K123" i="2"/>
  <c r="L164" i="1"/>
  <c r="K113" i="2"/>
  <c r="M113" i="2"/>
  <c r="J97" i="2"/>
  <c r="K100" i="2"/>
  <c r="M100" i="2"/>
  <c r="L146" i="1"/>
  <c r="K85" i="2"/>
  <c r="L125" i="1"/>
  <c r="M85" i="2"/>
  <c r="L78" i="1"/>
  <c r="G43" i="5"/>
  <c r="M49" i="2"/>
  <c r="K49" i="2"/>
  <c r="L69" i="1"/>
  <c r="K36" i="2"/>
  <c r="L47" i="1"/>
  <c r="M36" i="2"/>
  <c r="L31" i="1"/>
  <c r="M25" i="2"/>
  <c r="K25" i="2"/>
  <c r="G11" i="5"/>
  <c r="K15" i="2"/>
  <c r="J14" i="2"/>
  <c r="M15" i="2"/>
  <c r="L18" i="1"/>
  <c r="G33" i="5"/>
  <c r="M130" i="2"/>
  <c r="L188" i="1"/>
  <c r="K130" i="2"/>
  <c r="M122" i="2"/>
  <c r="L177" i="1"/>
  <c r="K122" i="2"/>
  <c r="M112" i="2"/>
  <c r="K112" i="2"/>
  <c r="L162" i="1"/>
  <c r="M96" i="2"/>
  <c r="K96" i="2"/>
  <c r="L141" i="1"/>
  <c r="M84" i="2"/>
  <c r="K84" i="2"/>
  <c r="L123" i="1"/>
  <c r="L90" i="1"/>
  <c r="M62" i="2"/>
  <c r="K62" i="2"/>
  <c r="G44" i="5"/>
  <c r="L197" i="1"/>
  <c r="M137" i="2"/>
  <c r="K137" i="2"/>
  <c r="K132" i="2"/>
  <c r="L191" i="1"/>
  <c r="O191" i="1" s="1"/>
  <c r="M132" i="2"/>
  <c r="K128" i="2"/>
  <c r="M128" i="2"/>
  <c r="L184" i="1"/>
  <c r="M124" i="2"/>
  <c r="L179" i="1"/>
  <c r="K124" i="2"/>
  <c r="L175" i="1"/>
  <c r="K120" i="2"/>
  <c r="J119" i="2"/>
  <c r="M120" i="2"/>
  <c r="M115" i="2"/>
  <c r="L167" i="1"/>
  <c r="K115" i="2"/>
  <c r="K110" i="2"/>
  <c r="M110" i="2"/>
  <c r="L160" i="1"/>
  <c r="K105" i="2"/>
  <c r="M105" i="2"/>
  <c r="F23" i="5"/>
  <c r="G23" i="5" s="1"/>
  <c r="L152" i="1"/>
  <c r="L136" i="1"/>
  <c r="M92" i="2"/>
  <c r="K92" i="2"/>
  <c r="M87" i="2"/>
  <c r="K87" i="2"/>
  <c r="L128" i="1"/>
  <c r="J86" i="2"/>
  <c r="G13" i="5"/>
  <c r="G24" i="5"/>
  <c r="L115" i="1"/>
  <c r="K78" i="2"/>
  <c r="M78" i="2"/>
  <c r="L95" i="1"/>
  <c r="M64" i="2"/>
  <c r="K64" i="2"/>
  <c r="L82" i="1"/>
  <c r="M82" i="1" s="1"/>
  <c r="M57" i="2"/>
  <c r="K50" i="2"/>
  <c r="L70" i="1"/>
  <c r="M50" i="2"/>
  <c r="K43" i="2"/>
  <c r="F15" i="5"/>
  <c r="G15" i="5" s="1"/>
  <c r="L59" i="1"/>
  <c r="M43" i="2"/>
  <c r="F25" i="5"/>
  <c r="G25" i="5" s="1"/>
  <c r="M27" i="2"/>
  <c r="G36" i="5"/>
  <c r="L34" i="1"/>
  <c r="L33" i="1" s="1"/>
  <c r="G14" i="5"/>
  <c r="J26" i="2"/>
  <c r="M146" i="2"/>
  <c r="G10" i="5"/>
  <c r="L208" i="1"/>
  <c r="K146" i="2"/>
  <c r="L27" i="1"/>
  <c r="K22" i="2"/>
  <c r="L22" i="2" s="1"/>
  <c r="L8" i="1" l="1"/>
  <c r="L77" i="1"/>
  <c r="L11" i="1"/>
  <c r="L10" i="1"/>
  <c r="L41" i="1"/>
  <c r="L60" i="1"/>
  <c r="L58" i="1" s="1"/>
  <c r="L207" i="1"/>
  <c r="M207" i="1" s="1"/>
  <c r="L190" i="1"/>
  <c r="M160" i="1"/>
  <c r="N160" i="1" s="1"/>
  <c r="O160" i="1"/>
  <c r="L166" i="1"/>
  <c r="M167" i="1"/>
  <c r="N167" i="1" s="1"/>
  <c r="O167" i="1"/>
  <c r="O162" i="1"/>
  <c r="M162" i="1"/>
  <c r="N162" i="1" s="1"/>
  <c r="O177" i="1"/>
  <c r="M177" i="1"/>
  <c r="N177" i="1" s="1"/>
  <c r="K14" i="2"/>
  <c r="M14" i="2"/>
  <c r="M10" i="2"/>
  <c r="K97" i="2"/>
  <c r="M97" i="2"/>
  <c r="M183" i="1"/>
  <c r="O183" i="1"/>
  <c r="M71" i="1"/>
  <c r="N71" i="1" s="1"/>
  <c r="O71" i="1"/>
  <c r="O104" i="1"/>
  <c r="M104" i="1"/>
  <c r="N104" i="1" s="1"/>
  <c r="M130" i="1"/>
  <c r="L129" i="1"/>
  <c r="L127" i="1" s="1"/>
  <c r="O130" i="1"/>
  <c r="L211" i="1"/>
  <c r="O212" i="1"/>
  <c r="M212" i="1"/>
  <c r="N212" i="1" s="1"/>
  <c r="O75" i="1"/>
  <c r="L74" i="1"/>
  <c r="M75" i="1"/>
  <c r="N75" i="1" s="1"/>
  <c r="K151" i="2"/>
  <c r="L151" i="2" s="1"/>
  <c r="M57" i="1"/>
  <c r="N57" i="1" s="1"/>
  <c r="L56" i="1"/>
  <c r="O57" i="1"/>
  <c r="L92" i="1"/>
  <c r="O93" i="1"/>
  <c r="M93" i="1"/>
  <c r="N93" i="1" s="1"/>
  <c r="L133" i="1"/>
  <c r="M134" i="1"/>
  <c r="N134" i="1" s="1"/>
  <c r="O134" i="1"/>
  <c r="M208" i="1"/>
  <c r="N208" i="1" s="1"/>
  <c r="O208" i="1"/>
  <c r="O34" i="1"/>
  <c r="M34" i="1"/>
  <c r="N34" i="1" s="1"/>
  <c r="M7" i="2"/>
  <c r="K7" i="2"/>
  <c r="K86" i="2"/>
  <c r="M86" i="2"/>
  <c r="O175" i="1"/>
  <c r="M175" i="1"/>
  <c r="N175" i="1" s="1"/>
  <c r="L174" i="1"/>
  <c r="O184" i="1"/>
  <c r="M184" i="1"/>
  <c r="N184" i="1" s="1"/>
  <c r="M191" i="1"/>
  <c r="N191" i="1" s="1"/>
  <c r="M197" i="1"/>
  <c r="N197" i="1" s="1"/>
  <c r="O197" i="1"/>
  <c r="L89" i="1"/>
  <c r="O90" i="1"/>
  <c r="M90" i="1"/>
  <c r="N90" i="1" s="1"/>
  <c r="O141" i="1"/>
  <c r="M141" i="1"/>
  <c r="N141" i="1" s="1"/>
  <c r="O31" i="1"/>
  <c r="M31" i="1"/>
  <c r="N31" i="1" s="1"/>
  <c r="L68" i="1"/>
  <c r="O69" i="1"/>
  <c r="M69" i="1"/>
  <c r="N69" i="1" s="1"/>
  <c r="O78" i="1"/>
  <c r="M78" i="1"/>
  <c r="N78" i="1" s="1"/>
  <c r="M146" i="1"/>
  <c r="N146" i="1" s="1"/>
  <c r="L143" i="1"/>
  <c r="O146" i="1"/>
  <c r="O178" i="1"/>
  <c r="M178" i="1"/>
  <c r="N178" i="1" s="1"/>
  <c r="M19" i="1"/>
  <c r="N19" i="1" s="1"/>
  <c r="O19" i="1"/>
  <c r="O29" i="1"/>
  <c r="M29" i="1"/>
  <c r="N29" i="1" s="1"/>
  <c r="L28" i="1"/>
  <c r="M209" i="1"/>
  <c r="N209" i="1" s="1"/>
  <c r="O209" i="1"/>
  <c r="O61" i="1"/>
  <c r="M61" i="1"/>
  <c r="N61" i="1" s="1"/>
  <c r="O83" i="1"/>
  <c r="N83" i="1"/>
  <c r="M116" i="1"/>
  <c r="O116" i="1"/>
  <c r="M161" i="1"/>
  <c r="O161" i="1"/>
  <c r="M169" i="1"/>
  <c r="N169" i="1" s="1"/>
  <c r="O169" i="1"/>
  <c r="L168" i="1"/>
  <c r="F7" i="5"/>
  <c r="G7" i="5" s="1"/>
  <c r="G9" i="5"/>
  <c r="O30" i="1"/>
  <c r="M30" i="1"/>
  <c r="N30" i="1" s="1"/>
  <c r="K72" i="2"/>
  <c r="M72" i="2"/>
  <c r="O170" i="1"/>
  <c r="M170" i="1"/>
  <c r="N170" i="1" s="1"/>
  <c r="M26" i="1"/>
  <c r="N26" i="1" s="1"/>
  <c r="O26" i="1"/>
  <c r="M159" i="1"/>
  <c r="N159" i="1" s="1"/>
  <c r="O159" i="1"/>
  <c r="G22" i="5"/>
  <c r="F21" i="5"/>
  <c r="G21" i="5" s="1"/>
  <c r="L81" i="1"/>
  <c r="M81" i="1" s="1"/>
  <c r="N82" i="1"/>
  <c r="O82" i="1"/>
  <c r="L148" i="1"/>
  <c r="M152" i="1"/>
  <c r="N152" i="1" s="1"/>
  <c r="O152" i="1"/>
  <c r="K26" i="2"/>
  <c r="M26" i="2"/>
  <c r="O59" i="1"/>
  <c r="M59" i="1"/>
  <c r="N59" i="1" s="1"/>
  <c r="L113" i="1"/>
  <c r="M115" i="1"/>
  <c r="N115" i="1" s="1"/>
  <c r="O115" i="1"/>
  <c r="O128" i="1"/>
  <c r="M128" i="1"/>
  <c r="N128" i="1" s="1"/>
  <c r="M123" i="1"/>
  <c r="N123" i="1" s="1"/>
  <c r="O123" i="1"/>
  <c r="L121" i="1"/>
  <c r="M18" i="1"/>
  <c r="N18" i="1" s="1"/>
  <c r="L17" i="1"/>
  <c r="L16" i="1" s="1"/>
  <c r="M16" i="1" s="1"/>
  <c r="O18" i="1"/>
  <c r="O196" i="1"/>
  <c r="M196" i="1"/>
  <c r="N196" i="1" s="1"/>
  <c r="L195" i="1"/>
  <c r="O37" i="1"/>
  <c r="L36" i="1"/>
  <c r="M37" i="1"/>
  <c r="N37" i="1" s="1"/>
  <c r="O187" i="1"/>
  <c r="M187" i="1"/>
  <c r="N187" i="1" s="1"/>
  <c r="L186" i="1"/>
  <c r="O192" i="1"/>
  <c r="M192" i="1"/>
  <c r="N192" i="1" s="1"/>
  <c r="O204" i="1"/>
  <c r="M204" i="1"/>
  <c r="N204" i="1" s="1"/>
  <c r="O25" i="1"/>
  <c r="L24" i="1"/>
  <c r="M25" i="1"/>
  <c r="N25" i="1" s="1"/>
  <c r="O46" i="1"/>
  <c r="M46" i="1"/>
  <c r="N46" i="1" s="1"/>
  <c r="O55" i="1"/>
  <c r="M55" i="1"/>
  <c r="N55" i="1" s="1"/>
  <c r="O62" i="1"/>
  <c r="M62" i="1"/>
  <c r="N62" i="1" s="1"/>
  <c r="L213" i="1"/>
  <c r="M214" i="1"/>
  <c r="N214" i="1" s="1"/>
  <c r="O214" i="1"/>
  <c r="M111" i="1"/>
  <c r="O111" i="1"/>
  <c r="L110" i="1"/>
  <c r="M27" i="1"/>
  <c r="N27" i="1" s="1"/>
  <c r="O27" i="1"/>
  <c r="M145" i="2"/>
  <c r="K145" i="2"/>
  <c r="O70" i="1"/>
  <c r="M70" i="1"/>
  <c r="N70" i="1" s="1"/>
  <c r="L94" i="1"/>
  <c r="O95" i="1"/>
  <c r="M95" i="1"/>
  <c r="N95" i="1" s="1"/>
  <c r="O136" i="1"/>
  <c r="M136" i="1"/>
  <c r="N136" i="1" s="1"/>
  <c r="K119" i="2"/>
  <c r="M119" i="2"/>
  <c r="O179" i="1"/>
  <c r="M179" i="1"/>
  <c r="N179" i="1" s="1"/>
  <c r="O188" i="1"/>
  <c r="M188" i="1"/>
  <c r="N188" i="1" s="1"/>
  <c r="M47" i="1"/>
  <c r="N47" i="1" s="1"/>
  <c r="O47" i="1"/>
  <c r="L124" i="1"/>
  <c r="M125" i="1"/>
  <c r="N125" i="1" s="1"/>
  <c r="O125" i="1"/>
  <c r="L163" i="1"/>
  <c r="M164" i="1"/>
  <c r="N164" i="1" s="1"/>
  <c r="O164" i="1"/>
  <c r="M54" i="1"/>
  <c r="O54" i="1"/>
  <c r="L53" i="1"/>
  <c r="L139" i="1"/>
  <c r="O140" i="1"/>
  <c r="M140" i="1"/>
  <c r="N140" i="1" s="1"/>
  <c r="O155" i="1"/>
  <c r="L154" i="1"/>
  <c r="M155" i="1"/>
  <c r="N155" i="1" s="1"/>
  <c r="M176" i="1"/>
  <c r="O176" i="1"/>
  <c r="L180" i="1"/>
  <c r="O181" i="1"/>
  <c r="M181" i="1"/>
  <c r="N181" i="1" s="1"/>
  <c r="G31" i="5"/>
  <c r="F30" i="5"/>
  <c r="G30" i="5" s="1"/>
  <c r="K149" i="2"/>
  <c r="M149" i="2"/>
  <c r="M30" i="2"/>
  <c r="K30" i="2"/>
  <c r="M109" i="1"/>
  <c r="N109" i="1" s="1"/>
  <c r="O109" i="1"/>
  <c r="M131" i="1"/>
  <c r="N131" i="1" s="1"/>
  <c r="O131" i="1"/>
  <c r="O158" i="1"/>
  <c r="M158" i="1"/>
  <c r="N158" i="1" s="1"/>
  <c r="L157" i="1"/>
  <c r="O182" i="1"/>
  <c r="M182" i="1"/>
  <c r="N182" i="1" s="1"/>
  <c r="M194" i="1"/>
  <c r="N194" i="1" s="1"/>
  <c r="O194" i="1"/>
  <c r="G42" i="5"/>
  <c r="F40" i="5"/>
  <c r="G40" i="5" s="1"/>
  <c r="M171" i="1"/>
  <c r="N171" i="1" s="1"/>
  <c r="O171" i="1"/>
  <c r="M189" i="1"/>
  <c r="N189" i="1" s="1"/>
  <c r="O189" i="1"/>
  <c r="L6" i="1" l="1"/>
  <c r="L107" i="1"/>
  <c r="L91" i="1"/>
  <c r="L185" i="1"/>
  <c r="K9" i="2"/>
  <c r="L9" i="2" s="1"/>
  <c r="M9" i="2"/>
  <c r="M6" i="2"/>
  <c r="L7" i="2"/>
  <c r="N54" i="1"/>
  <c r="N111" i="1"/>
  <c r="N176" i="1"/>
  <c r="N161" i="1"/>
  <c r="N116" i="1"/>
  <c r="O53" i="1"/>
  <c r="L52" i="1"/>
  <c r="M53" i="1"/>
  <c r="N53" i="1" s="1"/>
  <c r="O124" i="1"/>
  <c r="M124" i="1"/>
  <c r="N124" i="1" s="1"/>
  <c r="M110" i="1"/>
  <c r="N110" i="1" s="1"/>
  <c r="O110" i="1"/>
  <c r="O202" i="1"/>
  <c r="L201" i="1"/>
  <c r="M202" i="1"/>
  <c r="N202" i="1" s="1"/>
  <c r="O127" i="1"/>
  <c r="M127" i="1"/>
  <c r="N127" i="1" s="1"/>
  <c r="M58" i="1"/>
  <c r="O58" i="1"/>
  <c r="O190" i="1"/>
  <c r="M190" i="1"/>
  <c r="N190" i="1" s="1"/>
  <c r="O33" i="1"/>
  <c r="M33" i="1"/>
  <c r="N33" i="1" s="1"/>
  <c r="O133" i="1"/>
  <c r="L132" i="1"/>
  <c r="L126" i="1" s="1"/>
  <c r="M133" i="1"/>
  <c r="N133" i="1" s="1"/>
  <c r="M129" i="1"/>
  <c r="N129" i="1" s="1"/>
  <c r="O129" i="1"/>
  <c r="O102" i="1"/>
  <c r="M102" i="1"/>
  <c r="N102" i="1" s="1"/>
  <c r="O163" i="1"/>
  <c r="M163" i="1"/>
  <c r="N163" i="1" s="1"/>
  <c r="O94" i="1"/>
  <c r="M94" i="1"/>
  <c r="N94" i="1" s="1"/>
  <c r="O213" i="1"/>
  <c r="J26" i="6" s="1"/>
  <c r="M213" i="1"/>
  <c r="G26" i="6"/>
  <c r="O186" i="1"/>
  <c r="M186" i="1"/>
  <c r="N186" i="1" s="1"/>
  <c r="L35" i="1"/>
  <c r="L32" i="1" s="1"/>
  <c r="M36" i="1"/>
  <c r="N36" i="1" s="1"/>
  <c r="O36" i="1"/>
  <c r="M121" i="1"/>
  <c r="N121" i="1" s="1"/>
  <c r="L120" i="1"/>
  <c r="O121" i="1"/>
  <c r="M113" i="1"/>
  <c r="N113" i="1" s="1"/>
  <c r="O113" i="1"/>
  <c r="M168" i="1"/>
  <c r="N168" i="1" s="1"/>
  <c r="O168" i="1"/>
  <c r="L76" i="1"/>
  <c r="O77" i="1"/>
  <c r="M77" i="1"/>
  <c r="N77" i="1" s="1"/>
  <c r="M89" i="1"/>
  <c r="O89" i="1"/>
  <c r="O174" i="1"/>
  <c r="L173" i="1"/>
  <c r="M174" i="1"/>
  <c r="N174" i="1" s="1"/>
  <c r="O207" i="1"/>
  <c r="J24" i="6" s="1"/>
  <c r="G24" i="6"/>
  <c r="M56" i="1"/>
  <c r="O56" i="1"/>
  <c r="O166" i="1"/>
  <c r="M166" i="1"/>
  <c r="N166" i="1" s="1"/>
  <c r="M41" i="1"/>
  <c r="L40" i="1"/>
  <c r="O41" i="1"/>
  <c r="M24" i="1"/>
  <c r="N24" i="1" s="1"/>
  <c r="O24" i="1"/>
  <c r="L23" i="1"/>
  <c r="O81" i="1"/>
  <c r="N81" i="1"/>
  <c r="O60" i="1"/>
  <c r="M60" i="1"/>
  <c r="N60" i="1" s="1"/>
  <c r="M68" i="1"/>
  <c r="N68" i="1" s="1"/>
  <c r="L67" i="1"/>
  <c r="O68" i="1"/>
  <c r="O74" i="1"/>
  <c r="M74" i="1"/>
  <c r="N74" i="1" s="1"/>
  <c r="O211" i="1"/>
  <c r="J25" i="6" s="1"/>
  <c r="M211" i="1"/>
  <c r="G25" i="6"/>
  <c r="O157" i="1"/>
  <c r="M157" i="1"/>
  <c r="N157" i="1" s="1"/>
  <c r="O180" i="1"/>
  <c r="M180" i="1"/>
  <c r="N180" i="1" s="1"/>
  <c r="M154" i="1"/>
  <c r="N154" i="1" s="1"/>
  <c r="O154" i="1"/>
  <c r="L153" i="1"/>
  <c r="L142" i="1" s="1"/>
  <c r="M139" i="1"/>
  <c r="N139" i="1" s="1"/>
  <c r="O139" i="1"/>
  <c r="M195" i="1"/>
  <c r="N195" i="1" s="1"/>
  <c r="O195" i="1"/>
  <c r="O17" i="1"/>
  <c r="M17" i="1"/>
  <c r="N17" i="1" s="1"/>
  <c r="M148" i="1"/>
  <c r="O148" i="1"/>
  <c r="O28" i="1"/>
  <c r="M28" i="1"/>
  <c r="N28" i="1" s="1"/>
  <c r="M143" i="1"/>
  <c r="N143" i="1" s="1"/>
  <c r="O143" i="1"/>
  <c r="M92" i="1"/>
  <c r="N92" i="1" s="1"/>
  <c r="O92" i="1"/>
  <c r="N130" i="1"/>
  <c r="N183" i="1"/>
  <c r="O107" i="1" l="1"/>
  <c r="M107" i="1"/>
  <c r="N107" i="1" s="1"/>
  <c r="N56" i="1"/>
  <c r="N89" i="1"/>
  <c r="L106" i="1"/>
  <c r="O106" i="1" s="1"/>
  <c r="J20" i="6" s="1"/>
  <c r="N41" i="1"/>
  <c r="N58" i="1"/>
  <c r="N148" i="1"/>
  <c r="O16" i="1"/>
  <c r="N16" i="1"/>
  <c r="L15" i="1"/>
  <c r="N207" i="1"/>
  <c r="I24" i="6" s="1"/>
  <c r="H24" i="6"/>
  <c r="N213" i="1"/>
  <c r="I26" i="6" s="1"/>
  <c r="H26" i="6"/>
  <c r="M91" i="1"/>
  <c r="N91" i="1" s="1"/>
  <c r="O91" i="1"/>
  <c r="M32" i="1"/>
  <c r="G16" i="6"/>
  <c r="O32" i="1"/>
  <c r="J16" i="6" s="1"/>
  <c r="O126" i="1"/>
  <c r="J21" i="6" s="1"/>
  <c r="M126" i="1"/>
  <c r="G21" i="6"/>
  <c r="O201" i="1"/>
  <c r="M201" i="1"/>
  <c r="N201" i="1" s="1"/>
  <c r="G22" i="6"/>
  <c r="M142" i="1"/>
  <c r="O142" i="1"/>
  <c r="J22" i="6" s="1"/>
  <c r="H25" i="6"/>
  <c r="N211" i="1"/>
  <c r="I25" i="6" s="1"/>
  <c r="M23" i="1"/>
  <c r="N23" i="1" s="1"/>
  <c r="O23" i="1"/>
  <c r="O40" i="1"/>
  <c r="L39" i="1"/>
  <c r="M40" i="1"/>
  <c r="N40" i="1" s="1"/>
  <c r="O76" i="1"/>
  <c r="M76" i="1"/>
  <c r="N76" i="1" s="1"/>
  <c r="O67" i="1"/>
  <c r="M67" i="1"/>
  <c r="N67" i="1" s="1"/>
  <c r="L64" i="1"/>
  <c r="L80" i="1"/>
  <c r="O185" i="1"/>
  <c r="M185" i="1"/>
  <c r="N185" i="1" s="1"/>
  <c r="O132" i="1"/>
  <c r="M132" i="1"/>
  <c r="N132" i="1" s="1"/>
  <c r="O153" i="1"/>
  <c r="M153" i="1"/>
  <c r="N153" i="1" s="1"/>
  <c r="M173" i="1"/>
  <c r="O173" i="1"/>
  <c r="L172" i="1"/>
  <c r="O120" i="1"/>
  <c r="M120" i="1"/>
  <c r="N120" i="1" s="1"/>
  <c r="M35" i="1"/>
  <c r="N35" i="1" s="1"/>
  <c r="O35" i="1"/>
  <c r="O52" i="1"/>
  <c r="M52" i="1"/>
  <c r="N52" i="1" s="1"/>
  <c r="C9" i="7" l="1"/>
  <c r="C10" i="7"/>
  <c r="O15" i="1"/>
  <c r="J15" i="6" s="1"/>
  <c r="N173" i="1"/>
  <c r="M106" i="1"/>
  <c r="N106" i="1" s="1"/>
  <c r="I20" i="6" s="1"/>
  <c r="G20" i="6"/>
  <c r="G23" i="6"/>
  <c r="O172" i="1"/>
  <c r="J23" i="6" s="1"/>
  <c r="M172" i="1"/>
  <c r="O80" i="1"/>
  <c r="J19" i="6" s="1"/>
  <c r="G19" i="6"/>
  <c r="M80" i="1"/>
  <c r="C8" i="7"/>
  <c r="G8" i="6"/>
  <c r="M8" i="1"/>
  <c r="O8" i="1"/>
  <c r="J8" i="6" s="1"/>
  <c r="H22" i="6"/>
  <c r="N142" i="1"/>
  <c r="I22" i="6" s="1"/>
  <c r="M15" i="1"/>
  <c r="G15" i="6"/>
  <c r="O64" i="1"/>
  <c r="J18" i="6" s="1"/>
  <c r="G18" i="6"/>
  <c r="M64" i="1"/>
  <c r="O39" i="1"/>
  <c r="J17" i="6" s="1"/>
  <c r="G17" i="6"/>
  <c r="M39" i="1"/>
  <c r="N126" i="1"/>
  <c r="I21" i="6" s="1"/>
  <c r="H21" i="6"/>
  <c r="N32" i="1"/>
  <c r="I16" i="6" s="1"/>
  <c r="H16" i="6"/>
  <c r="O11" i="1" l="1"/>
  <c r="J11" i="6" s="1"/>
  <c r="H20" i="6"/>
  <c r="M11" i="1"/>
  <c r="G11" i="6"/>
  <c r="N64" i="1"/>
  <c r="I18" i="6" s="1"/>
  <c r="H18" i="6"/>
  <c r="N39" i="1"/>
  <c r="I17" i="6" s="1"/>
  <c r="H17" i="6"/>
  <c r="O10" i="1"/>
  <c r="J10" i="6" s="1"/>
  <c r="G10" i="6"/>
  <c r="M10" i="1"/>
  <c r="D10" i="7" s="1"/>
  <c r="N80" i="1"/>
  <c r="I19" i="6" s="1"/>
  <c r="H19" i="6"/>
  <c r="H15" i="6"/>
  <c r="N15" i="1"/>
  <c r="I15" i="6" s="1"/>
  <c r="D8" i="7"/>
  <c r="N8" i="1"/>
  <c r="I8" i="6" s="1"/>
  <c r="H8" i="6"/>
  <c r="C11" i="7"/>
  <c r="G6" i="6"/>
  <c r="O6" i="1"/>
  <c r="J6" i="6" s="1"/>
  <c r="M6" i="1"/>
  <c r="N6" i="1" s="1"/>
  <c r="N172" i="1"/>
  <c r="I23" i="6" s="1"/>
  <c r="H23" i="6"/>
  <c r="H11" i="6" l="1"/>
  <c r="N11" i="1"/>
  <c r="I11" i="6" s="1"/>
  <c r="D9" i="7"/>
  <c r="H6" i="6"/>
  <c r="I6" i="6"/>
  <c r="D11" i="7"/>
  <c r="N10" i="1"/>
  <c r="I10" i="6" s="1"/>
  <c r="H10" i="6"/>
  <c r="L104" i="2"/>
  <c r="L118" i="2"/>
  <c r="L8" i="2"/>
  <c r="L69" i="2"/>
  <c r="L66" i="2"/>
  <c r="L116" i="2"/>
  <c r="L106" i="2"/>
  <c r="L21" i="2"/>
  <c r="L43" i="2"/>
  <c r="L58" i="2"/>
  <c r="L23" i="2"/>
  <c r="L105" i="2"/>
  <c r="L115" i="2"/>
  <c r="L131" i="2"/>
  <c r="L97" i="2"/>
  <c r="L34" i="2"/>
  <c r="L95" i="2"/>
  <c r="L70" i="2"/>
  <c r="L49" i="2"/>
  <c r="L93" i="2"/>
  <c r="L65" i="2"/>
  <c r="L146" i="2"/>
  <c r="L36" i="2"/>
  <c r="L84" i="2"/>
  <c r="L74" i="2"/>
  <c r="L61" i="2"/>
  <c r="L145" i="2"/>
  <c r="L35" i="2"/>
  <c r="L121" i="2"/>
  <c r="L57" i="2"/>
  <c r="L126" i="2"/>
  <c r="L114" i="2"/>
  <c r="L111" i="2"/>
  <c r="L88" i="2"/>
  <c r="L135" i="2"/>
  <c r="L130" i="2"/>
  <c r="L75" i="2"/>
  <c r="L149" i="2"/>
  <c r="L107" i="2"/>
  <c r="L127" i="2"/>
  <c r="L144" i="2"/>
  <c r="L79" i="2"/>
  <c r="L77" i="2"/>
  <c r="L24" i="2"/>
  <c r="L83" i="2"/>
  <c r="L17" i="2"/>
  <c r="L132" i="2"/>
  <c r="L138" i="2"/>
  <c r="L45" i="2"/>
  <c r="L60" i="2"/>
  <c r="L62" i="2"/>
  <c r="L125" i="2"/>
  <c r="L136" i="2"/>
  <c r="L41" i="2"/>
  <c r="L123" i="2"/>
  <c r="L28" i="2"/>
  <c r="L18" i="2"/>
  <c r="L15" i="2"/>
  <c r="L101" i="2"/>
  <c r="L99" i="2"/>
  <c r="L98" i="2"/>
  <c r="L119" i="2"/>
  <c r="L63" i="2"/>
  <c r="L44" i="2"/>
  <c r="L120" i="2"/>
  <c r="L141" i="2"/>
  <c r="L102" i="2"/>
  <c r="L19" i="2"/>
  <c r="L71" i="2"/>
  <c r="L38" i="2"/>
  <c r="L27" i="2"/>
  <c r="L137" i="2"/>
  <c r="L122" i="2"/>
  <c r="L26" i="2"/>
  <c r="L92" i="2"/>
  <c r="L64" i="2"/>
  <c r="L32" i="2"/>
  <c r="L25" i="2"/>
  <c r="L16" i="2"/>
  <c r="L91" i="2"/>
  <c r="L152" i="2"/>
  <c r="L113" i="2"/>
  <c r="L73" i="2"/>
  <c r="L20" i="2"/>
  <c r="L14" i="2"/>
  <c r="L10" i="2"/>
  <c r="L72" i="2"/>
  <c r="L124" i="2"/>
  <c r="L142" i="2"/>
  <c r="L90" i="2"/>
  <c r="L133" i="2"/>
  <c r="L100" i="2"/>
  <c r="L89" i="2"/>
  <c r="L29" i="2"/>
  <c r="L139" i="2"/>
  <c r="L108" i="2"/>
  <c r="L86" i="2"/>
  <c r="L31" i="2"/>
  <c r="L112" i="2"/>
  <c r="L128" i="2"/>
  <c r="L59" i="2"/>
  <c r="L30" i="2"/>
  <c r="L40" i="2"/>
  <c r="L50" i="2"/>
  <c r="L87" i="2"/>
  <c r="L48" i="2"/>
  <c r="L129" i="2"/>
  <c r="L103" i="2"/>
  <c r="L68" i="2"/>
  <c r="L42" i="2"/>
  <c r="L117" i="2"/>
  <c r="L39" i="2"/>
  <c r="L78" i="2"/>
  <c r="L150" i="2"/>
  <c r="L96" i="2"/>
  <c r="L85" i="2"/>
  <c r="L109" i="2"/>
  <c r="L110" i="2"/>
  <c r="I206" i="1"/>
  <c r="H119" i="2"/>
  <c r="G119" i="2"/>
  <c r="AL119" i="2" s="1"/>
  <c r="C38" i="5"/>
  <c r="D38" i="5" s="1"/>
  <c r="I201" i="1" l="1"/>
  <c r="I10" i="1"/>
  <c r="I6" i="1" s="1"/>
  <c r="D18" i="5"/>
  <c r="C30" i="5"/>
  <c r="D30" i="5" s="1"/>
  <c r="J206" i="1"/>
  <c r="J10" i="1" s="1"/>
  <c r="J6" i="1" s="1"/>
  <c r="I172" i="1"/>
  <c r="C74" i="5"/>
  <c r="D10" i="16" s="1"/>
  <c r="D10" i="6" l="1"/>
  <c r="D7" i="5"/>
  <c r="D74" i="5"/>
  <c r="D64" i="5" s="1"/>
  <c r="N10" i="16"/>
  <c r="N16" i="16" s="1"/>
  <c r="K10" i="16"/>
  <c r="L10" i="16" s="1"/>
  <c r="M10" i="16"/>
  <c r="M16" i="16" s="1"/>
  <c r="M3" i="16" s="1"/>
  <c r="I10" i="16"/>
  <c r="I16" i="16" s="1"/>
  <c r="I3" i="16" s="1"/>
  <c r="D16" i="16"/>
  <c r="D17" i="16" s="1"/>
  <c r="H18" i="16" s="1"/>
  <c r="J201" i="1"/>
  <c r="C64" i="5"/>
  <c r="F10" i="16"/>
  <c r="Q10" i="16" s="1"/>
  <c r="D23" i="6"/>
  <c r="C52" i="6" s="1"/>
  <c r="C43" i="6" s="1"/>
  <c r="D6" i="6" l="1"/>
  <c r="P10" i="16"/>
  <c r="K18" i="16"/>
  <c r="K16" i="16"/>
  <c r="E10" i="6"/>
  <c r="J172" i="1"/>
  <c r="E6" i="6" s="1"/>
  <c r="F16" i="16"/>
  <c r="Q16" i="16" s="1"/>
  <c r="F17" i="16" l="1"/>
  <c r="L16" i="16"/>
  <c r="L3" i="16" s="1"/>
  <c r="E23" i="6"/>
  <c r="D52" i="6" s="1"/>
  <c r="D43" i="6" s="1"/>
  <c r="P16" i="16" l="1"/>
  <c r="R12" i="2" l="1"/>
  <c r="S12" i="2" s="1"/>
  <c r="Y166" i="2"/>
  <c r="Z166" i="2" s="1"/>
  <c r="AF166" i="2"/>
  <c r="AG166" i="2" s="1"/>
  <c r="R166" i="2"/>
  <c r="S166" i="2" s="1"/>
  <c r="K166" i="2"/>
  <c r="L166" i="2" s="1"/>
  <c r="AL166" i="2"/>
  <c r="Y12" i="2" l="1"/>
  <c r="Z12" i="2" s="1"/>
  <c r="K12" i="2"/>
  <c r="L12" i="2" s="1"/>
  <c r="AF12" i="2"/>
  <c r="AG12" i="2" s="1"/>
  <c r="R6" i="2"/>
  <c r="S6" i="2" s="1"/>
  <c r="G2" i="2"/>
  <c r="K6" i="2"/>
  <c r="L6" i="2" s="1"/>
  <c r="AF6" i="2"/>
  <c r="AG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0" authorId="0" shapeId="0" xr:uid="{00000000-0006-0000-0700-000001000000}">
      <text>
        <r>
          <rPr>
            <b/>
            <sz val="9"/>
            <color indexed="81"/>
            <rFont val="Tahoma"/>
            <family val="2"/>
            <charset val="186"/>
          </rPr>
          <t>Author:</t>
        </r>
        <r>
          <rPr>
            <sz val="9"/>
            <color indexed="81"/>
            <rFont val="Tahoma"/>
            <family val="2"/>
            <charset val="186"/>
          </rPr>
          <t xml:space="preserve">
</t>
        </r>
        <r>
          <rPr>
            <sz val="14"/>
            <color indexed="81"/>
            <rFont val="Tahoma"/>
            <family val="2"/>
            <charset val="186"/>
          </rPr>
          <t>Līdz 17.12. MK sēdei šeit bija rezerve 1186027 euro apmērā.</t>
        </r>
      </text>
    </comment>
    <comment ref="I122" authorId="0" shapeId="0" xr:uid="{00000000-0006-0000-0700-000002000000}">
      <text>
        <r>
          <rPr>
            <b/>
            <sz val="9"/>
            <color indexed="81"/>
            <rFont val="Tahoma"/>
            <family val="2"/>
            <charset val="186"/>
          </rPr>
          <t>Author:</t>
        </r>
        <r>
          <rPr>
            <sz val="9"/>
            <color indexed="81"/>
            <rFont val="Tahoma"/>
            <family val="2"/>
            <charset val="186"/>
          </rPr>
          <t xml:space="preserve">
Līdz 19.05.2020. MK sēdei ;seit bija rezerve 4 250 000 euro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<sst xmlns="http://schemas.openxmlformats.org/spreadsheetml/2006/main" count="4291" uniqueCount="1614">
  <si>
    <t>1.</t>
  </si>
  <si>
    <t>Pētniecība, tehnoloģiju attīstība un inovācijas</t>
  </si>
  <si>
    <t>Fonds</t>
  </si>
  <si>
    <t>Nr.</t>
  </si>
  <si>
    <t>1.1.</t>
  </si>
  <si>
    <t>Uzlabot P&amp;I infrastruktūru un spēju attīstīt P&amp;I izcilību, kā arī veicināt kompetences centru, it īpaši Eiropas nozīmes centru, izveidi.</t>
  </si>
  <si>
    <t>Palielināt Latvijas zinātnisko institūciju pētniecisko un inovatīvo kapacitāti un spēju piesaistīt ārējo finansējumu, ieguldot cilvēkresursos un infrastruktūrā.</t>
  </si>
  <si>
    <t>1.2.</t>
  </si>
  <si>
    <t>Palielināt privātā sektora investīcijas P&amp;A.</t>
  </si>
  <si>
    <t>Veicināt inovāciju ieviešanu komersantos.</t>
  </si>
  <si>
    <t>2.1.</t>
  </si>
  <si>
    <t>Komentāri</t>
  </si>
  <si>
    <t>2.</t>
  </si>
  <si>
    <t>IKT pieejamība, e-pārvalde un pakalpojumi</t>
  </si>
  <si>
    <t>Paplašināt platjoslas pakalpojumu izvietojumu un sekmējot ātrgaitas tīklu attīstību un atbalstot jauno tehnoloģiju un tīklu ieviešanu digitālās ekonomikas vajadzībām</t>
  </si>
  <si>
    <t>Uzlabot elektroniskās sakaru infrastruktūras pieejamību  lauku teritorijās</t>
  </si>
  <si>
    <t>2.2.</t>
  </si>
  <si>
    <t>Stiprināt IKT lietojumprogrammas e-pārvaldes, e- mācību, eiekļaušanas, e-kultūras un e-veselības jomā</t>
  </si>
  <si>
    <t>3.</t>
  </si>
  <si>
    <t>Mazo un vidējo komersantu konkurētspēja</t>
  </si>
  <si>
    <t>3.1.</t>
  </si>
  <si>
    <t>Veicināt uzņēmējdarbību, jo īpaši atvieglojot jaunu ideju izmantošanu ekonomikā un atbalstot jaunu uzņēmumu izveidi, tostarp ar uzņēmumu inkubatoru palīdzību</t>
  </si>
  <si>
    <t>3.2.</t>
  </si>
  <si>
    <t>3.3.</t>
  </si>
  <si>
    <t>3.4.</t>
  </si>
  <si>
    <t>Valsts pārvaldes profesionālā pilnveide labāka tiesiskā regulējuma izstrādei mazo un vidējo saimnieciskās darbības veicēju  atbalsta, korupcijas novēršanas un ēnu ekonomikas mazināšanas jomās</t>
  </si>
  <si>
    <t>Atbalstīt MVK spēju panākt izaugsmi reģionālos, valsts un starptautiskos tirgos un iesaistīties inovāciju procesos</t>
  </si>
  <si>
    <t>Atbalstīt uzlabotu spēju radīšanu un paplašināšanu produktu un pakalpojumu attīstībai.</t>
  </si>
  <si>
    <t>Investīcijas institucionālajās spējās un efektīvā valsts pārvaldē un publiskajos pakalpojumos valsts,
reģionālajā un vietējā līmenī, lai panāktu reformas, labāku regulējumu un labu pārvaldību.</t>
  </si>
  <si>
    <t>4.</t>
  </si>
  <si>
    <t>Pāreja uz ekonomiku ar zemu oglekļa emisijas līmeni visās nozarēs</t>
  </si>
  <si>
    <t>4.1.</t>
  </si>
  <si>
    <t>4.2.</t>
  </si>
  <si>
    <t>4.5.</t>
  </si>
  <si>
    <t>Veicināt energoefektivitātes paaugstināšanu valsts un dzīvojamās ēkās</t>
  </si>
  <si>
    <t xml:space="preserve"> Attīstīt videi draudzīgu sabiedriskā transporta infrastruktūru.</t>
  </si>
  <si>
    <t>Nodrošināt publisko datu atkalizmantošanas pieaugumu un efektīvu publiskās pārvaldes un privātā sektora mijiedarbību</t>
  </si>
  <si>
    <t>Sekmēt MVK izveidi un
Attīstību, īpaši apstrādes rūpniecībā un RIS3 prioritārajās nozarēs</t>
  </si>
  <si>
    <t>Palielināt straujas izaugsmes komersantu skaitu</t>
  </si>
  <si>
    <t xml:space="preserve"> Palielināt augstas pievienotās vērtības produktu un pakalpojumu eksporta proporciju</t>
  </si>
  <si>
    <t>Palielināt privāto investīciju apjomu reģionos, veicot ieguldījumus uzņēmējdarbības attīstībai atbilstoši pašvaldību attīstības programmās noteiktajai teritoriju ekonomiskajai specializācijai un balstoties uz vietējo uzņēmēju vajadzībām</t>
  </si>
  <si>
    <t xml:space="preserve"> Paaugstināt tiesu un tiesībsargājošo institūciju personāla kompetenci komercdarbības vides uzlabošanas sekmēšanai</t>
  </si>
  <si>
    <t>Atbalstīt energoefektivitāti, viedu energovadību un atjaunojamo energoresursu izmantošanu
sabiedriskajā infrastruktūrā, tostarp sabiedriskajās ēkās un mājokļu sektorā.</t>
  </si>
  <si>
    <t>Veicināt energoefektivitāti un atjaunojamo energoresursu izmantošanu uzņēmumos</t>
  </si>
  <si>
    <t xml:space="preserve"> Veicināt efektīvu energoresursu izmantošanu un enerģijas patēriņa samazināšanu un pāreju uz AER apstrādes rūpniecības nozarē</t>
  </si>
  <si>
    <t>4.3.</t>
  </si>
  <si>
    <t>Atbilstoši pašvaldības integrētajiem attīstības programmām sekmēt energoefektivitātes paaugstināšanu un AER izmantošanu pašvaldību ēkās.</t>
  </si>
  <si>
    <t>4.4.</t>
  </si>
  <si>
    <t>Veicināt no atjaunojamiem energoresursiem iegūtas enerģijas ražošanu un sadali.</t>
  </si>
  <si>
    <t>Veicināt energoefektivitāti un vietējo atjaunojamo energoresursu izmantošanu centralizētajā siltumapgādē</t>
  </si>
  <si>
    <t>Veicināt zemu oglekļa emisiju stratēģijas visu veidu teritorijām, jo īpaši pilsētām, tostarp ilgtspējīgu multimodālo mobilitāti pilsētās un ar ietekmes mazināšanu saistītus pielāgošanās pasākumus</t>
  </si>
  <si>
    <t>5.</t>
  </si>
  <si>
    <t>5.1.</t>
  </si>
  <si>
    <t>5.2.</t>
  </si>
  <si>
    <t>5.3.</t>
  </si>
  <si>
    <t>5.4.</t>
  </si>
  <si>
    <t>5.5.</t>
  </si>
  <si>
    <t>5.6.</t>
  </si>
  <si>
    <t xml:space="preserve"> Atbalstīt investīcijas, kas paredzētas, lai pielāgotos klimata pārmaiņām, tostarp izmantojot uz ekosistēmām balstītas pieejas. </t>
  </si>
  <si>
    <t xml:space="preserve">Novērst plūdu un krasta erozijas risku apdraudējumu pilsētu teritorijās. </t>
  </si>
  <si>
    <t>Samazināt plūdu riskus lauku teritorijās</t>
  </si>
  <si>
    <t>Veicināt dažāda veida atkritumu atkārtotu izmantošanu, pārstrādi un reģenerāciju.</t>
  </si>
  <si>
    <t xml:space="preserve">Investēt ūdenssaimniecības nozarē, lai ievērotu Savienības acquis noteiktās prasības vides jomā un nodrošinātu dalībvalstu identificētās investīciju vajadzības, kas pārsniedz minētās prasības. </t>
  </si>
  <si>
    <t xml:space="preserve">Attīstīt un uzlabot ūdensapgādes un kanalizācijas sistēmas pakalpojumu kvalitāti un nodrošināt pieslēgšanas iespējas </t>
  </si>
  <si>
    <t>Aizsargāt un atjaunot bioloģisko daudzveidību un augsni un veicināt ekosistēmu pakalpojumus, tostarp ar Natura 2000 un zaļoinfrastruktūru.</t>
  </si>
  <si>
    <t>Saglabāt un atjaunot bioloģisko daudzveidību un aizsargāt ekosistēmas.</t>
  </si>
  <si>
    <t>Nodrošināt vides monitoringa kontroles sistēmas attīstību un savlaicīgu vides risku novēršanu, kā arī sabiedrības līdzdalību vides pārvaldībā.</t>
  </si>
  <si>
    <t>Saglabāt, aizsargāt, veicināt un attīstīt dabas un kultūras mantojumu</t>
  </si>
  <si>
    <t>Saglabāt, aizsargāt un attīstīt nozīmīgu kultūras un dabas mantojumu, kā arī attīstīt ar to saistītos pakalpojumus</t>
  </si>
  <si>
    <t>Veikt darbības, lai uzlabotu pilsētvidi, revitalizētu pilsētas, atjaunotu un attīrītu pamestas rūpnieciskās
teritorijas (tai skaitā pārveidei paredzētās zonas), samazinātu gaisa piesārņojumu un veicinātu trokšņa mazināšanas pasākumus</t>
  </si>
  <si>
    <t>Teritoriju revitalizācija, reģenerējot degradētās teritorijas atbilstoši pašvaldības integrētajām attīstības programmām.</t>
  </si>
  <si>
    <t>6.</t>
  </si>
  <si>
    <t>6.1.</t>
  </si>
  <si>
    <t>6.2.</t>
  </si>
  <si>
    <t>6.3.</t>
  </si>
  <si>
    <t>Ilgtspējīga transporta sistēma</t>
  </si>
  <si>
    <t>Atbalstīt multimodālu Eiropas vienoto transporta telpu, investējot TEN-T</t>
  </si>
  <si>
    <t>Palielināt ostu drošības līmeni un uzlabot transporta tīkla mobilitāti</t>
  </si>
  <si>
    <t>Palielināt drošību un vides prasību ievērošanu starptautiskajā lidostā “Rīga”</t>
  </si>
  <si>
    <t>Nodrošināt nepieciešamo infrastruktūru uz Rīgas maģistrālajiem pārvadiem un novērst maģistrālo ielu fragmentāro raksturu</t>
  </si>
  <si>
    <t>Pilsētu infrastruktūrassasaiste ar TEN-T tīklu</t>
  </si>
  <si>
    <t>Valsts galveno autoceļu segu pārbūve, nestspējas palielināšana</t>
  </si>
  <si>
    <t>Attīstīt un atjaunot visaptverošu, kvalitatīvu un savstarpēji savietojamu dzelzceļa sistēmu un veicinot trokšņa mazināšanas pasākumus</t>
  </si>
  <si>
    <t xml:space="preserve"> Nodrošināt konkurētspējīgu un videi draudzīgu TEN-T dzelzceļa tīklu, veicinot tā drošību, kvalitāti un kapacitāti.</t>
  </si>
  <si>
    <t>Pastiprināt reģionālo mobilitāti, pievienojot sekundāros un terciāros transporta mezglus, tostarp multimodālos mezglus, TEN-T infrastruktūrai</t>
  </si>
  <si>
    <t>Palielināt reģionālo mobilitāti, uzlabojot valsts reģionālo autoceļu kvalitāti</t>
  </si>
  <si>
    <t>7.</t>
  </si>
  <si>
    <t>7.1.</t>
  </si>
  <si>
    <t>7.2.</t>
  </si>
  <si>
    <t>7.3.</t>
  </si>
  <si>
    <t xml:space="preserve">Nodarbinātības pieejamības nodrošināšana darba meklētājiem un neaktīvām personām, tostarp ilgstošiem bezdarbniekiem un no darba tirgus attālinātām personām, kā arī izmantojot vietējās nodarbinātības iniciatīvas un atbalstu
darbaspēka mobilitātei. </t>
  </si>
  <si>
    <t>Paaugstināt bezdarbnieku kvalifikāciju un prasmes atbilstoši darba tirgus pieprasījumam.</t>
  </si>
  <si>
    <t xml:space="preserve"> Izveidot Darba tirgus apsteidzošo pārkārtojumu sistēmu, nodrošinot tās sasaisti ar Nodarbinātības barometru.</t>
  </si>
  <si>
    <t>Palielināt nodarbinātībā, izglītībā vai apmācībās neiesaistītu jauniešu nodarbinātību un izglītības ieguvi Jauniešu garantijas ietvaros.</t>
  </si>
  <si>
    <t>Darba ņēmēju, uzņēmumu un uzņēmēju pielāgošanās
pārmaiņām.</t>
  </si>
  <si>
    <t xml:space="preserve"> Uzlabot darba drošību, it īpaši bīstamo nozaru uzņēmumos.</t>
  </si>
  <si>
    <t>Paildzināt gados vecāku nodarbināto darbspēju saglabāšanu un nodarbinātību.</t>
  </si>
  <si>
    <t>8.</t>
  </si>
  <si>
    <t>Izglītība, prasmes un mūžizglītība</t>
  </si>
  <si>
    <t>8.1.</t>
  </si>
  <si>
    <t xml:space="preserve"> Investīcijas izglītībā un apmācībā, tostarp profesionālajā apmācībā, lai nodrošinātu prasmju apgūšanu un mūžizglītību, attīstot izglītības un apmācības infrastruktūru</t>
  </si>
  <si>
    <t>Palielināt modernizēto STEM t.sk. medicīnas un radošās industrijas, studiju programmu skaitu</t>
  </si>
  <si>
    <t>Uzlabot vispārējās izglītības iestāžu mācību vidi</t>
  </si>
  <si>
    <t>Palielināt modernizēto profesionālās izglītības iestāžu skaitu.</t>
  </si>
  <si>
    <t>Uzlabot pirmā līmeņa profesionālās augstākās izglītības STEM, t.sk. medicīnas un radošās industrijas, studiju mācību vidi koledžās8.2</t>
  </si>
  <si>
    <t>8.2.</t>
  </si>
  <si>
    <t>Augstākās izglītības vai pielīdzināma līmeņa izglītības kvalitātes, efektivitātes un
pieejamības uzlabošana nolūkā palielināt līdzdalības un sasniegumu līmeni, jo īpaši nelabvēlīgā situācijā esošām grupām.</t>
  </si>
  <si>
    <t>Samazināt studiju programmu fragmentāciju un stiprināt resursu koplietošanu.</t>
  </si>
  <si>
    <t>8.3.</t>
  </si>
  <si>
    <t>Stiprināt augstākās izglītības institūciju akadēmisko personālu stratēģiskās specializācijas jomās</t>
  </si>
  <si>
    <t>Nodrošināt labāku pārvaldību augstākās izglītības institucijās</t>
  </si>
  <si>
    <t>Nodrošināt atbalstu EQAR aģentūrai izvirzīto prasību izpildei</t>
  </si>
  <si>
    <t>Priekšlaicīgas mācību pārtraukšanas samazināšana un novēršana un vienlīdzīgas pieejas veicināšana kvalitatīvai pirmsskolas, pamatskolas un vidusskolas izglītībai, tostarp formālām, neformālām un ikdienējām mācību iespējām, kas ļauj mācības pametušajām personām atsākt izglītības iegūšanu un mācības.</t>
  </si>
  <si>
    <t>Attīstīt kompetenču pieejā balstītu vispārējās izglītības saturu</t>
  </si>
  <si>
    <t>Palielināt atbalstu vispārējās izglītības iestādēm izglītojamo individuālo kompetenču attīstībai</t>
  </si>
  <si>
    <t>Attīstīt NVA nereģistrēto NEET jauniešu prasmes un veicināt to iesaisti izglītībā, NVA īstenotajos pasākumos jauniešu garantijas ietvaros un nevalstisko organizāciju vai jauniešu centru darbībā.</t>
  </si>
  <si>
    <t>Samazināt priekšlaicīgu mācību pārtraukšanu, īstenojot preventīvus un intervences pasākumus</t>
  </si>
  <si>
    <t>Uzlabot pieeju karjeras atbalstam izglītojamajiem vispārējās un profesionālās izglītības iestādēs</t>
  </si>
  <si>
    <t>Ieviest izglītības kvalitātes monitoringa sistēmu</t>
  </si>
  <si>
    <t>8.4.</t>
  </si>
  <si>
    <t>Formālas, neformālas un ikdienējas mūžizglītības vienlīdzīgas pieejamības uzlabošana visām vecuma grupām, darbaspēka zināšanu, prasmju un kompetenču uzlabošana un elastīgu mācību iespēju veicināšana, tostarp ar profesionālo orientāciju un iegūto kompetenču apstiprināšanu</t>
  </si>
  <si>
    <t xml:space="preserve">Pilnveidot nodarbināto personu profesionālo kompetenci </t>
  </si>
  <si>
    <t>8.5.</t>
  </si>
  <si>
    <t>Darba tirgus nozīmes palielināšana izglītības un apmācības sistēmās, pārejas veicināšana no izglītības uz nodarbinātību un profesionālās izglītības un apmācības sistēmu un to kvalitātes uzlabošana, tostarp ar vajadzīgo prasmju prognozēšanas mehānismiem, studiju programmu pielāgošanu un uz darbu balstītu mācību programmu, tostarp duālu mācību programmu un māceklības shēmu,
izstrādi.</t>
  </si>
  <si>
    <t>Palielināt kvalificētu profesionālās izglītības iestāžu audzēkņu skaitu pēc to dalības darba vidē balstītās mācībās vai mācību praksē uzņēmumā</t>
  </si>
  <si>
    <t>Nodrošināt profesionālās izglītības atbilstību Eiropas kvalifikācijas ietvarstruktūrai</t>
  </si>
  <si>
    <t>Nodrošināt profesionālās izglītības iestāžu efektīvu pārvaldību un iesaistītā personāla profesionālās kompetences pilnveidi</t>
  </si>
  <si>
    <t>9.</t>
  </si>
  <si>
    <t>9.1.</t>
  </si>
  <si>
    <t>9.2.</t>
  </si>
  <si>
    <t>Sociālā iekļaušana un nabadzības apkarošana</t>
  </si>
  <si>
    <t>Aktīva iekļaušana ar mērķi veicināt nodarbinātību, tostarp, lai veicinātu vienlīdzīgas iespējas un aktīvu līdzdalību un uzlabotu nodarbinātību.</t>
  </si>
  <si>
    <t>Palielināt nelabvēlīgākā situācijā esošu bezdarbnieku iekļaušanos darba tirgū</t>
  </si>
  <si>
    <t>Palielināt bijušo ieslodzīto integrāciju sabiedrībā un darba tirgū</t>
  </si>
  <si>
    <t>Paaugstināt resocializācijas sistēmas efektivitāti</t>
  </si>
  <si>
    <t>Palielināt diskriminācijas riskiem pakļauto iedzīvotāju integrāciju sabiedrībā un darba tirgū</t>
  </si>
  <si>
    <t>Palielināt kvalitatīvu institucionālai aprūpei alternatīvu sociālo pakalpojumu dzīvesvietā un ģimeniskai videi pietuvinātu pakalpojumu pieejamību personām ar invaliditāti un bērniem.</t>
  </si>
  <si>
    <t xml:space="preserve"> Atbalstīt prioritāro (sirds un asinsvadu, onkoloģijas, perinatālā un neonatālā perioda aprūpes un garīgās veselības) veselības jomu veselības tīklu attīstības vadlīniju un kvalitātes nodrošināšanas sistēmas izstrādi un ieviešanu, jo īpaši sociālās atstumtības un nabadzības riskam pakļauto iedzīvotāju veselības uzlabošanai</t>
  </si>
  <si>
    <t xml:space="preserve">Uzlabot pieejamību veselības veicināšanas un slimību profilakses pakalpojumiem, jo īpaši, nabadzības un sociālās atstumtības riskam pakļautajiem iedzīvotājiem </t>
  </si>
  <si>
    <t>Uzlabot pieejamību ārstniecības un ārstniecības atbalsta personām, kas sniedz pakalpojumus prioritārajās veselības jomās iedzīvotājiem, kas dzīvo ārpus Rīgas</t>
  </si>
  <si>
    <t>Uzlabot ārstniecības un ārstniecības atbalsta personāla kvalifikāciju</t>
  </si>
  <si>
    <t>10.</t>
  </si>
  <si>
    <t>Tehniskā palīdzība  “ESF atbalsts KP fondu ieviešanai un vadībai”</t>
  </si>
  <si>
    <t>Paaugstināt informētību par KP fondiem, sniedzot atbalstu informācijas un komunikācijas pasākumiem</t>
  </si>
  <si>
    <t>11.</t>
  </si>
  <si>
    <t>12.</t>
  </si>
  <si>
    <t>Tehniskā palīdzība “ERAF atbalsts KP fondu ieviešanai un vadībai”</t>
  </si>
  <si>
    <t>Tehniskā palīdzība “KF atbalsts KP fondu ieviešanai un vadībai”</t>
  </si>
  <si>
    <t>Atbalstīt un pilnveidot KP fondu plānošanu, ieviešanu, uzraudzību un kontroli</t>
  </si>
  <si>
    <t>Uzlabot KP fondu plānošanu, ieviešanu, uzraudzību, kontroli, revīziju un atbalstīt e-kohēziju</t>
  </si>
  <si>
    <t>Apstiprinātie projekti</t>
  </si>
  <si>
    <t>Noslēgtie līgumi</t>
  </si>
  <si>
    <t>1.4.</t>
  </si>
  <si>
    <t>1.3.</t>
  </si>
  <si>
    <t>Vispārējā informācija</t>
  </si>
  <si>
    <t>Maksājumi</t>
  </si>
  <si>
    <t>Piešķīrums</t>
  </si>
  <si>
    <t>Prioritārais virziens/Ieguldījumu prioritāte/SAM</t>
  </si>
  <si>
    <t xml:space="preserve">Virssaistības  atbilstoši apst. MK </t>
  </si>
  <si>
    <t xml:space="preserve">Noslēgtie līgumi </t>
  </si>
  <si>
    <t>Noslēgtie līgumi % no piešķiruma</t>
  </si>
  <si>
    <t>Praktiskas ievirzes pētījumi</t>
  </si>
  <si>
    <t>Pēcdoktorantūras pētniecības atbalsts</t>
  </si>
  <si>
    <t>Inovāciju granti studentiem</t>
  </si>
  <si>
    <t>P&amp;A infrastruktūras attīstīšana Viedās specializācijas jomās un zinātnisko institūciju institucionālās kapacitātes stiprināšana</t>
  </si>
  <si>
    <t>Atbalsts starptautiskās sadarbības projektiem pētniecībā un inovācijās</t>
  </si>
  <si>
    <t>Atbalsts jaunu produktu un tehnoloģiju izstrādei kompetences centru ietvaros</t>
  </si>
  <si>
    <t>Atbalsts tehnoloģiju pārneses sistēmas pilnveidošanai</t>
  </si>
  <si>
    <t>Atbalsts jaunu produktu ieviešanai ražošanā</t>
  </si>
  <si>
    <t>Atbalsts nodarbināto apmācībām</t>
  </si>
  <si>
    <t>Inovāciju motivācijas programma</t>
  </si>
  <si>
    <t>Centralizētu publiskās pārvaldes IKT platformu izveide, publiskās pārvaldes procesu optimizēšana un attīstība</t>
  </si>
  <si>
    <t xml:space="preserve">Digitalizācija </t>
  </si>
  <si>
    <t>Aizdevumu garantijas</t>
  </si>
  <si>
    <t>Mezanīna aizdevumi</t>
  </si>
  <si>
    <t>Biznesa enģeļu ko-investīciju fonds</t>
  </si>
  <si>
    <t>Mikrokreditēšana un aizdevumi biznesa uzsācējiem</t>
  </si>
  <si>
    <t>Atbalsts ieguldījumiem ražošanas telpu un infrastruktūras izveidei vai rekonstrukcijai</t>
  </si>
  <si>
    <t>Reģionālie biznesa inkubatori un radošo industriju inkubators</t>
  </si>
  <si>
    <t>Riska kapitāls</t>
  </si>
  <si>
    <t>Tehnoloģiju akselerators</t>
  </si>
  <si>
    <t>Starptautiskās konkurētspējas veicināšana</t>
  </si>
  <si>
    <t>Klasteru programma</t>
  </si>
  <si>
    <t>Veicināt energoefektivitātes paaugstināšanu dzīvojamās ēkās</t>
  </si>
  <si>
    <t>Veicināt energoefektivitātes paaugstināšanu valsts ēkās</t>
  </si>
  <si>
    <t>Attīstīt videi draudzīgu sabiedriskā transporta infrastruktūru (sliežu transporta)</t>
  </si>
  <si>
    <t>Attīstīt videi draudzīgu sabiedriskā transporta infrastruktūru</t>
  </si>
  <si>
    <t>Atkritumu dalītas savākšanas sistēmas attīstība</t>
  </si>
  <si>
    <t>Antropogēno slodzi mazinošas infrastruktūras izbūve un rekonstrukcija Natura 2000 teritorijās</t>
  </si>
  <si>
    <t>Pasākumi biotopu un sugu aizsardzības atjaunošanai un antropogēnas slodzes mazināšanai</t>
  </si>
  <si>
    <t>Bioloģiskās daudzveidības saglabāšanas un ekosistēmu aizsardzības priekšnoteikumi</t>
  </si>
  <si>
    <t>Nodrošināt vides monitoringa un kontroles sistēmas attīstību un savlaicīgu vides risku novēršanu, kā arī sabiedrības līdzdalību vides pārvaldībā</t>
  </si>
  <si>
    <t>Salu tilta kompleksa rekonstrukcija un Raņķa dambja un Vienības gatves, Mūkusalas ielas savienojums</t>
  </si>
  <si>
    <t>Multimodāla transporta mezgla izbūve Torņakalna apkaimē</t>
  </si>
  <si>
    <t>Rīgas ostas un Rīgas pilsētas integrēšana TEN-T tīklā</t>
  </si>
  <si>
    <t>Nacionālas nozīmes attīstības centru integrēšana TEN-T tīklā</t>
  </si>
  <si>
    <t>Latvijas dzelzceļa tīkla elektrifikācija</t>
  </si>
  <si>
    <t>Dzelzceļa infrastruktūras modernizācija un izbūve</t>
  </si>
  <si>
    <t>EURES tīkla darbības nodrošināšana</t>
  </si>
  <si>
    <t>Darba tirgus apsteidzošo pārkārtojumu sistēmas ieviešana</t>
  </si>
  <si>
    <t>Aktīvās darba tirgus politikas pasākumu īstenošana jauniešu bezdarbnieku nodarbinātības veicināšanai (papildus klāt JNI 15 515 561 EUR)*</t>
  </si>
  <si>
    <t>Sākotnējās profesionālās izglītības programmu īstenošana garantijas jauniešiem sistēmas ietvaros(papildus klāt JNI 13 495 078 EUR)*</t>
  </si>
  <si>
    <t>Jauniešu garantijas pasākumu īstenošana pēc 2018.gada</t>
  </si>
  <si>
    <t>Kompetenču pieejā balstīta vispārējās izglītības satura aprobācija</t>
  </si>
  <si>
    <t>Digitālo mācību un metodisko līdzekļu izstrāde</t>
  </si>
  <si>
    <t xml:space="preserve"> Atbalsts nacionāla un starptautiska mēroga pasākumu īstenošanai izglītojamo talantu attīstībai</t>
  </si>
  <si>
    <t>Atbalsts izglītojamo individuālo kompetenču attīstībai</t>
  </si>
  <si>
    <t>Dalība starptautiskos pētījumos un nacionālo izglītības pētījumu veikšana</t>
  </si>
  <si>
    <t>Izglītības kvalitātes monitoringa sistēmas ieviešana</t>
  </si>
  <si>
    <t>Profesionālā rehabilitācija</t>
  </si>
  <si>
    <t>Funkcionēšanas novērtēšanas un asistīvo tehnoloģiju (tehnisko palīglīdzekļu) apmaiņas sistēmas izveide un ieviešana</t>
  </si>
  <si>
    <t>Invaliditātes ekspertīzes pakalpojuma kvalitātes uzlabošana</t>
  </si>
  <si>
    <t>Dažādību veicināšana (diskriminācijas novēršana)</t>
  </si>
  <si>
    <t>Profesionāla sociālā darba attīstība pašvaldībās</t>
  </si>
  <si>
    <t>Iekļaujoša darba tirgus un nabadzības risku pētījumi un monitorings</t>
  </si>
  <si>
    <t>Darbs ar bērniem ar saskarsmes grūtībām un uzvedības traucējumiem, un ar vardarbības ģimenē gadījumiem</t>
  </si>
  <si>
    <t>Deinstitucionalizācija</t>
  </si>
  <si>
    <t>Sociālo pakalpojumu atbalsta sistēmas pilnveide</t>
  </si>
  <si>
    <t>Kompleksi  veselības veicināšanas un slimību profilakses pasākumi</t>
  </si>
  <si>
    <t>Pasākumi vietējās sabiedrības veselības veicināšanai</t>
  </si>
  <si>
    <t>9.3.</t>
  </si>
  <si>
    <t>9.3.1.</t>
  </si>
  <si>
    <t xml:space="preserve">Attīstīt pakalpojumu infrastruktūru bērnu aprūpei ģimeniskā vidē un personu ar invaliditāti neatkarīgai dzīvei un integrācijai sabiedrībā </t>
  </si>
  <si>
    <t>Pakalpojumu infrastruktūras attīstība deinstitucionalizācijas plānu īstenošanai</t>
  </si>
  <si>
    <t>Infrastruktūras attīstība funkcionēšanas novērtēšanas sistēmas un asistīvo tehnoloģiju (tehnisko palīglīdzekļu) apmaiņas fonda izveidei</t>
  </si>
  <si>
    <t>Uzlabot kvalitatīvu veselības aprūpes pakalpojumu pieejamību, jo īpaši sociālās, teritoriālās atstumtības un nabadzības riskam pakļautajiem iedzīvotājiem,  attīstot veselības aprūpes infrastruktūru</t>
  </si>
  <si>
    <t>Prioritārais virziens/Ieguldījumu prioritāte/SAM/pasākums</t>
  </si>
  <si>
    <t xml:space="preserve">Kopā VISI fondi </t>
  </si>
  <si>
    <t>Kopā ESF</t>
  </si>
  <si>
    <t>Kopā ERAF</t>
  </si>
  <si>
    <t>Kopā KF</t>
  </si>
  <si>
    <t xml:space="preserve">Kopā ESF </t>
  </si>
  <si>
    <t xml:space="preserve">Kopā JNI </t>
  </si>
  <si>
    <t>12.1.1</t>
  </si>
  <si>
    <t>11.1.1</t>
  </si>
  <si>
    <t>10.1.2</t>
  </si>
  <si>
    <t>9.3.2</t>
  </si>
  <si>
    <t>9.3.1.2</t>
  </si>
  <si>
    <t>1</t>
  </si>
  <si>
    <t>1.1.1.1</t>
  </si>
  <si>
    <t>1.1.1.2</t>
  </si>
  <si>
    <t>1.1.1.3</t>
  </si>
  <si>
    <t>1.1.1.4</t>
  </si>
  <si>
    <t>1.1.1.5</t>
  </si>
  <si>
    <t>1.2.1.1</t>
  </si>
  <si>
    <t>1.2.1.2</t>
  </si>
  <si>
    <t>1.2.1.4</t>
  </si>
  <si>
    <t>1.2.2.1</t>
  </si>
  <si>
    <t>1.2.2.2</t>
  </si>
  <si>
    <t>2</t>
  </si>
  <si>
    <t>2.1.1</t>
  </si>
  <si>
    <t>2.2.1.1</t>
  </si>
  <si>
    <t>2.2.1.2</t>
  </si>
  <si>
    <t>3</t>
  </si>
  <si>
    <t>3.1.1.1</t>
  </si>
  <si>
    <t>3.1.1.2</t>
  </si>
  <si>
    <t>3.1.1.3</t>
  </si>
  <si>
    <t>3.1.1.4</t>
  </si>
  <si>
    <t>3.1.1.5</t>
  </si>
  <si>
    <t>3.1.1.6</t>
  </si>
  <si>
    <t>3.1.2.1</t>
  </si>
  <si>
    <t>3.1.2.2</t>
  </si>
  <si>
    <t>3.3.1</t>
  </si>
  <si>
    <t>4</t>
  </si>
  <si>
    <t>4.1.1</t>
  </si>
  <si>
    <t>4.2.1.1</t>
  </si>
  <si>
    <t>4.2.1.2</t>
  </si>
  <si>
    <t>4.2.2</t>
  </si>
  <si>
    <t>4.3.1</t>
  </si>
  <si>
    <t>4.4.1</t>
  </si>
  <si>
    <t>4.5.1.1</t>
  </si>
  <si>
    <t>4.5.1.2</t>
  </si>
  <si>
    <t>5</t>
  </si>
  <si>
    <t>5.1.1</t>
  </si>
  <si>
    <t>5.1.2</t>
  </si>
  <si>
    <t>5.2.1.1</t>
  </si>
  <si>
    <t>5.2.1.2</t>
  </si>
  <si>
    <t>5.3.1</t>
  </si>
  <si>
    <t>5.4.1.1</t>
  </si>
  <si>
    <t>5.4.2.1</t>
  </si>
  <si>
    <t>5.4.2.2</t>
  </si>
  <si>
    <t>5.5.1</t>
  </si>
  <si>
    <t>5.6.1</t>
  </si>
  <si>
    <t>5.6.2</t>
  </si>
  <si>
    <t>6</t>
  </si>
  <si>
    <t>6.1.1</t>
  </si>
  <si>
    <t>6.1.2</t>
  </si>
  <si>
    <t>6.1.3.1</t>
  </si>
  <si>
    <t>6.1.3.2</t>
  </si>
  <si>
    <t>6.1.4.1</t>
  </si>
  <si>
    <t>6.1.4.2</t>
  </si>
  <si>
    <t>6.1.5</t>
  </si>
  <si>
    <t>6.2.1.1</t>
  </si>
  <si>
    <t>6.2.1.2</t>
  </si>
  <si>
    <t>6.3.1</t>
  </si>
  <si>
    <t>7</t>
  </si>
  <si>
    <t>7.1.1</t>
  </si>
  <si>
    <t>7.1.2.1</t>
  </si>
  <si>
    <t>7.1.2.2</t>
  </si>
  <si>
    <t>7.2.1.1</t>
  </si>
  <si>
    <t>7.2.1.2</t>
  </si>
  <si>
    <t>7.2.1.3</t>
  </si>
  <si>
    <t>7.3.1</t>
  </si>
  <si>
    <t>7.3.2</t>
  </si>
  <si>
    <t>8</t>
  </si>
  <si>
    <t>8.1.1</t>
  </si>
  <si>
    <t>8.1.3</t>
  </si>
  <si>
    <t>8.1.4</t>
  </si>
  <si>
    <t>8.2.1</t>
  </si>
  <si>
    <t>8.2.2</t>
  </si>
  <si>
    <t>8.2.3</t>
  </si>
  <si>
    <t>8.2.4</t>
  </si>
  <si>
    <t>8.3.1.2</t>
  </si>
  <si>
    <t>8.3.2.1</t>
  </si>
  <si>
    <t>8.3.2.2</t>
  </si>
  <si>
    <t>8.3.3</t>
  </si>
  <si>
    <t>8.3.4</t>
  </si>
  <si>
    <t>8.3.5</t>
  </si>
  <si>
    <t>8.3.6.1</t>
  </si>
  <si>
    <t>8.3.6.2</t>
  </si>
  <si>
    <t>8.5.1</t>
  </si>
  <si>
    <t>8.5.2</t>
  </si>
  <si>
    <t>8.5.3</t>
  </si>
  <si>
    <t>9</t>
  </si>
  <si>
    <t>9.1.1.1</t>
  </si>
  <si>
    <t>9.1.1.2</t>
  </si>
  <si>
    <t>9.1.1.3</t>
  </si>
  <si>
    <t>9.1.2</t>
  </si>
  <si>
    <t>9.1.3</t>
  </si>
  <si>
    <t>9.1.4.1</t>
  </si>
  <si>
    <t>9.1.4.2</t>
  </si>
  <si>
    <t>9.1.4.3</t>
  </si>
  <si>
    <t>9.1.4.4</t>
  </si>
  <si>
    <t>9.2.1.1</t>
  </si>
  <si>
    <t>9.2.1.2</t>
  </si>
  <si>
    <t>9.2.1.3</t>
  </si>
  <si>
    <t>9.2.2.1</t>
  </si>
  <si>
    <t>9.2.2.2</t>
  </si>
  <si>
    <t>9.2.3</t>
  </si>
  <si>
    <t>9.2.4.1</t>
  </si>
  <si>
    <t>9.2.4.2</t>
  </si>
  <si>
    <t>9.2.5</t>
  </si>
  <si>
    <t>9.2.6</t>
  </si>
  <si>
    <t>9.3.1.1</t>
  </si>
  <si>
    <t>ERAF</t>
  </si>
  <si>
    <t>KF</t>
  </si>
  <si>
    <t>ESF</t>
  </si>
  <si>
    <t>SM</t>
  </si>
  <si>
    <t>IZM</t>
  </si>
  <si>
    <t>EM</t>
  </si>
  <si>
    <t>VARAM</t>
  </si>
  <si>
    <t>LM</t>
  </si>
  <si>
    <t>VM</t>
  </si>
  <si>
    <t>TM</t>
  </si>
  <si>
    <t>VK</t>
  </si>
  <si>
    <t>KM</t>
  </si>
  <si>
    <t>FM</t>
  </si>
  <si>
    <t>Uzlabot elektroniskās sakaru infrastruktūras pieejamību lauku teritorijās</t>
  </si>
  <si>
    <t>JNI</t>
  </si>
  <si>
    <t>10.1.1</t>
  </si>
  <si>
    <t>Tehniskā palīdzība „Atbalsts ERAF ieviešanai un vadībai” Atbalstīt un pilnveidot KP fondu plānošanu, ieviešanu, uzraudzību un kontroli</t>
  </si>
  <si>
    <t>Aktīvās darba tirgus politikas pasākumu īstenošana jauniešu bezdarbnieku nodarbinātības veicināšanai (JNI finansējums)</t>
  </si>
  <si>
    <t>Sākotnējās profesionālās izglītības programmu īstenošana garantijas jauniešiem sistēmas ietvaros  (JNI finansējums)</t>
  </si>
  <si>
    <t>Palielināt modernizēto profesionālās izglītības iestāžu skaitu</t>
  </si>
  <si>
    <t>3.2.1.2</t>
  </si>
  <si>
    <t>Ilgstošo bezdarbnieku aktivizācijas pasākumi</t>
  </si>
  <si>
    <t>Atbalsts sociālajai uzņēmējdarbībai</t>
  </si>
  <si>
    <t>Vides aizsardzība un resursu izmantošanas efektivitāte</t>
  </si>
  <si>
    <t>Maksājumi finansējuma saņēmējiem</t>
  </si>
  <si>
    <t xml:space="preserve">Apstiprinātie projekti </t>
  </si>
  <si>
    <t xml:space="preserve">ESF </t>
  </si>
  <si>
    <t xml:space="preserve">JNI </t>
  </si>
  <si>
    <t xml:space="preserve">Kopā visi fondi </t>
  </si>
  <si>
    <t>3.1.=3./2.</t>
  </si>
  <si>
    <t>4.1.=4./2.</t>
  </si>
  <si>
    <t>5.1.=5./2.</t>
  </si>
  <si>
    <t>6.1.=6./2.</t>
  </si>
  <si>
    <t>Sekmēt uzņēmumu investīcijas P&amp;I un veidot saiknes un sinerģiju starp uzņēmumiem, pētniecības un izstrādes centriem un augstākās izglītības nozari, jo īpaši veicināt investīcijas produktu un pakalpojumu (tai skaitā radošu produktu) attīstībā, tehnoloģiju nodošanu, sociālās inovācijas, ekoinovācijas, sabiedrisko pakalpojumu lietotnes, pieprasījuma stimulēšanu, tīklu veidošanu, kopu izveidi un atvērtās inovācijas ar viedās specializācijas palīdzību un atbalstīt tehnoloģisko un lietišķo pētniecību, izmēģinājuma projektus, ražojumu apstiprināšanu to agrīnā izstrādes stadijā, ražošanas spēju palielināšanu un pirmo ražošanu, jo īpaši attiecībā uz svarīgākajām pamattehnoloģijām un universālo tehnoloģiju izplatīšanu</t>
  </si>
  <si>
    <t>Investēt atkritumu apsaimniekošanas nozarē, lai ievērotu Savienības
acquis noteiktās prasības vides jomā un nodrošinātu dalībvalstu identificētās
vajadzības pēc investīcijām, kas pārsniedz minētās prasības; vides saglabāšana
un aizsardzība un resursu efektīvas izmantošanas veicināšana</t>
  </si>
  <si>
    <t>Jauniešu ilgtspējīga integrācija darba tirgū, īpašu uzmanību pievēršot
nodarbinātībā, izglītībā vai apmācībā neiesaistītiem jauniešiem, tostarp
jauniešiem, kuriem ir sociālās atstumtības risks, un jauniešiem no sociāli
atstumtām kopienām, tostarp ar garantijas jauniešiem shēmas īstenošanu
garantijas jauniešiem shēmas īstenošanu</t>
  </si>
  <si>
    <t>Piekļuves uzlabošana cenas ziņā pieejamiem, ilgtspējīgiem un kvalitatīviem pakalpojumiem, tostarp veselības aprūpei un vispārējas nozīmes sociālajiem pakalpojumiem</t>
  </si>
  <si>
    <t>Investējot veselības aprūpes un sociālajā infrastruktūrā, kas sniedz
ieguldījumu valsts, reģionālajā un vietējā attīstībā, mazinot atšķirības veselības stāvokļa ziņā un veicinot sociālo iekļaušanu ar sociālo, kultūras un atpūtas pakalpojumu uzlabotas pieejamības palīdzību, un veicinot pāreju no institucionāliem uz pašvaldību pakalpojumiem</t>
  </si>
  <si>
    <t>Iesniegtie projekti , % no kopējā piešķīruma, ieprieksējā mēneša dati progresa aprēķinam</t>
  </si>
  <si>
    <t>Apstiprinātie projekti , % no kopējā piešķīruma,   ieprieksējā mēneša dati progresa aprēķinam</t>
  </si>
  <si>
    <t>Noslēgtie līgumi , % no kopējā piešķīruma, ieprieksējā mēneša dati progresa aprēķinam</t>
  </si>
  <si>
    <t>Izmaksāts  finansējuma saņēmējam, % no kopējā piešķīruma,   ieprieksējā mēneša dati progresa aprēķinam</t>
  </si>
  <si>
    <t>Progresa dinamika, % pret iepriekšējo periodu</t>
  </si>
  <si>
    <t>Progress, procentpunkti salīdzinot ar iepriekšējo periodu</t>
  </si>
  <si>
    <t xml:space="preserve">Iesniegti  projekti, iepriekšējā mēneša dati
</t>
  </si>
  <si>
    <t xml:space="preserve">Apstiprinātie projekti, iepriekšējā mēneša dati
</t>
  </si>
  <si>
    <t xml:space="preserve">Noslēgtie līgumi,  iepriekšējā mēneša dati
</t>
  </si>
  <si>
    <t>Izmaksāts finansējuma saņēmējiem,  iepriekšējā mēneša dati</t>
  </si>
  <si>
    <t>Darbības programma</t>
  </si>
  <si>
    <t>Kopā:</t>
  </si>
  <si>
    <t>Atbalsts IKT un netehnoloģiskām apmācībām, kā arī apmācībām, lai sekmētu investoru piesaisti</t>
  </si>
  <si>
    <t>1.2.2.3</t>
  </si>
  <si>
    <t>Iesniegtie projekti , % no kopējā piešķīruma, ,  iepriekšējā mēneša dati</t>
  </si>
  <si>
    <t>Apstiprinātie projekti , % no kopējā piešķīruma,  iepriekšējā mēneša dati</t>
  </si>
  <si>
    <t>Noslēgtie līgumi , % no kopējā piešķīruma, iepriekšējā mēneša dati</t>
  </si>
  <si>
    <t>Izmaksāts  finansējuma saņēmējam, % no kopējā piešķīruma,  iepriekšējā mēneša dati</t>
  </si>
  <si>
    <t>ZM</t>
  </si>
  <si>
    <t xml:space="preserve">Kopā </t>
  </si>
  <si>
    <t>Kopā</t>
  </si>
  <si>
    <t>Atkritumu reģenerācijas veicināšana</t>
  </si>
  <si>
    <t>Atkritumu pārstrādes veicināšana</t>
  </si>
  <si>
    <t>5.2.1.3</t>
  </si>
  <si>
    <t xml:space="preserve">Projektu apjoms
</t>
  </si>
  <si>
    <t xml:space="preserve"> % no piešķiruma</t>
  </si>
  <si>
    <t>% no piešķiruma</t>
  </si>
  <si>
    <t>Kopējais piešķīrums (DP+virssaistības)</t>
  </si>
  <si>
    <t>Maksājumu apjoms</t>
  </si>
  <si>
    <t>3.2.1.1</t>
  </si>
  <si>
    <t>Skaits</t>
  </si>
  <si>
    <t>Apstiprināti projekti</t>
  </si>
  <si>
    <t>Noslēgti līgumi</t>
  </si>
  <si>
    <t>Pilnveidot nodarbināto personu profesionālo kompetenci</t>
  </si>
  <si>
    <t>Attīstīt ETL uzlādes infrastruktūru Latvijā</t>
  </si>
  <si>
    <t>3.4.1</t>
  </si>
  <si>
    <t>3.4.2</t>
  </si>
  <si>
    <t xml:space="preserve"> Fondu finansējums </t>
  </si>
  <si>
    <t>Ministriju dalījumā</t>
  </si>
  <si>
    <t xml:space="preserve">Maksājumi, iepriekšējā mēneša dati
</t>
  </si>
  <si>
    <t xml:space="preserve">Noslēgti līgumi, iepriekšējā mēneša dati
</t>
  </si>
  <si>
    <t xml:space="preserve">Apstiprināti projekti, iepriekšējā mēneša dati
</t>
  </si>
  <si>
    <t>Saņemtais finansējums</t>
  </si>
  <si>
    <t>Apjoms</t>
  </si>
  <si>
    <t>Progress*, procentpunkti salīdzinot ar iepriekšējo periodu</t>
  </si>
  <si>
    <t>2.2.=2.+2.1.</t>
  </si>
  <si>
    <t>1.1.1</t>
  </si>
  <si>
    <t>1.2.1</t>
  </si>
  <si>
    <t>1.2.2</t>
  </si>
  <si>
    <t>2.2.1</t>
  </si>
  <si>
    <t>3.1.1</t>
  </si>
  <si>
    <t>3.1.2</t>
  </si>
  <si>
    <t>3.2.1</t>
  </si>
  <si>
    <t>4.2.1</t>
  </si>
  <si>
    <t>4.5.1</t>
  </si>
  <si>
    <t>5.2.1</t>
  </si>
  <si>
    <t>5.4.1</t>
  </si>
  <si>
    <t>5.4.2</t>
  </si>
  <si>
    <t>6.1.3</t>
  </si>
  <si>
    <t>6.1.4</t>
  </si>
  <si>
    <t>6.2.1</t>
  </si>
  <si>
    <t>7.1.2</t>
  </si>
  <si>
    <t>7.2.1</t>
  </si>
  <si>
    <t>8.1.2</t>
  </si>
  <si>
    <t>8.3.1</t>
  </si>
  <si>
    <t>8.3.1.1</t>
  </si>
  <si>
    <t>8.3.2</t>
  </si>
  <si>
    <t>8.3.6</t>
  </si>
  <si>
    <t>8.4.1</t>
  </si>
  <si>
    <t>9.1.1</t>
  </si>
  <si>
    <t>9.1.4</t>
  </si>
  <si>
    <t>9.2.1</t>
  </si>
  <si>
    <t>9.2.2</t>
  </si>
  <si>
    <t>9.2.4</t>
  </si>
  <si>
    <t>Valsts pārvaldes profesionālā pilnveide labāka tiesiska regulējuma izstrādē mazo un vidējo komersantu atbalsta, korupcijas novēršanas un ēnu ekonomikas mazināšanas jomās</t>
  </si>
  <si>
    <t>3.4.2.2</t>
  </si>
  <si>
    <t>3.4.2.1</t>
  </si>
  <si>
    <t>Sociālā dialoga attīstība labāka tiesiska regulējuma izstrādē uzņēmējdarbības atbalsta jomā</t>
  </si>
  <si>
    <t>Progresa dinamika**, % pret iepriekšējo periodu</t>
  </si>
  <si>
    <r>
      <t xml:space="preserve">* Progress, procentpunkti (3.2., 4.2., 5.2. un 6.2. kolonas) tiek aprēķināts kā starpība starp iepriekšējā perioda procentu no piešķīruma un kārtējā perioda procentu no piešķīruma (3.1.,4.1.,5.1. un 6.1. kolonu vērtības). Piemēram, līdz janvāra beigām tika noslēgti līgumi par 20% no piešķirtā finansējuma, bet februārī noslēgto līgumu apjoms sasniedza 25% no piešķirtā finansējuma. </t>
    </r>
    <r>
      <rPr>
        <b/>
        <sz val="14"/>
        <color theme="1"/>
        <rFont val="Times New Roman"/>
        <family val="1"/>
        <charset val="186"/>
      </rPr>
      <t>Progress procentpunktos ir 25%-20%=5%.</t>
    </r>
    <r>
      <rPr>
        <sz val="14"/>
        <color theme="1"/>
        <rFont val="Times New Roman"/>
        <family val="1"/>
        <charset val="186"/>
      </rPr>
      <t xml:space="preserve">
** Progresa dinamika (3.3., 4.3., 5.3. un 6.3. kolonas) tiek aprēķināta kā starpība starp kārtējā un iepriekšējā perioda vērtībām dalīta uz iepriekšējā perioda vērtību, pēc būtības tas ir pieaugums, salīdzinot ar iepriekšējo periodu. Piemēram, līdz janvāra beigām tika noslēgti līgumi par 100 milj.  euro, bet februārī noslēgto līgumu apjoms sasniedza 150 milj. euro. </t>
    </r>
    <r>
      <rPr>
        <b/>
        <sz val="14"/>
        <color theme="1"/>
        <rFont val="Times New Roman"/>
        <family val="1"/>
        <charset val="186"/>
      </rPr>
      <t>Progresa dinamika ir (150-100)/100=0,5, jeb 50%</t>
    </r>
    <r>
      <rPr>
        <sz val="14"/>
        <color theme="1"/>
        <rFont val="Times New Roman"/>
        <family val="1"/>
        <charset val="186"/>
      </rPr>
      <t xml:space="preserve">. Pieaugums salīdzinot ar iepriekšējo periodu, jeb progresa dinamika, ir 50%. 
</t>
    </r>
  </si>
  <si>
    <t>5.6.3</t>
  </si>
  <si>
    <t>Atbildīgā iestāde</t>
  </si>
  <si>
    <t>Atbildīgā iestāde / Fonds</t>
  </si>
  <si>
    <t>Kopējais piešķīrums (piešķirums+
virssaistības)</t>
  </si>
  <si>
    <t>Iepriekšējā perioda beigas:</t>
  </si>
  <si>
    <t>Perioda beigas:</t>
  </si>
  <si>
    <t>Nē</t>
  </si>
  <si>
    <t>Nr</t>
  </si>
  <si>
    <t>Projektu apjoms</t>
  </si>
  <si>
    <t>% no piešķīruma</t>
  </si>
  <si>
    <t>Projektu skaits</t>
  </si>
  <si>
    <t>Apstiprinātie projekti , % no piešķīruma</t>
  </si>
  <si>
    <t>Noslēgtie līgumi % no piešķīruma</t>
  </si>
  <si>
    <t>Maksajumu apjoms</t>
  </si>
  <si>
    <t>Izmaksāts  finansējuma saņēmējam, % no piešķīruma</t>
  </si>
  <si>
    <t>Kopā VISI fondi</t>
  </si>
  <si>
    <t>Kopā JNI</t>
  </si>
  <si>
    <t>Pētniecības, tehnoloģiju attīstība un inovācijas</t>
  </si>
  <si>
    <t>1.1</t>
  </si>
  <si>
    <t>Uzlabojot P&amp;I infrastruktūru un spēju attīstīt P&amp;I izcilību, kā arī veicinot kompetences centru, it īpaši Eiropas nozīmes centru, izveidi</t>
  </si>
  <si>
    <t>Palielināt Latvijas zinātnisko institūciju pētniecisko un inovatīvo kapacitāti un spēju piesaistīt ārējo finansējumu, ieguldot cilvēkresursos un infrastruktūrā</t>
  </si>
  <si>
    <t>Izglītības un zinātnes ministrija</t>
  </si>
  <si>
    <t>1.2</t>
  </si>
  <si>
    <t>Sekmējot uzņēmumu investīcijas P&amp;I un veidot saiknes un sinerģiju starp uzņēmumiem, pētniecības un izstrādes centriem un augstākās izglītības nozari, jo īpaši veicinot investīcijas produktu un pakalpojumu (tai skaitā radošu produktu) attīstībā, tehnoloģiju nodošanu, sociālās inovācijas, ekoinovācijas, sabiedrisko pakalpojumu lietotnes, pieprasījuma stimulēšanu, tīklu veidošanu, kopu izveidi un atvērtās inovācijas ar viedās specializācijas palīdzību un atbalstīt tehnoloģisko un lietišķo pētniecību, izmēģinājuma projektus, ražojumu apstiprināšanu to agrīnā izstrādes stadijā, ražošanas spēju palielināšanu un pirmo ražošanu, jo īpaši attiecībā uz svarīgākajām pamattehnoloģijām un universālo tehnoloģiju izplatīšanu</t>
  </si>
  <si>
    <t>Palielināt privātā sektora investīcijas P&amp;A</t>
  </si>
  <si>
    <t>Ekonomikas ministrija</t>
  </si>
  <si>
    <t>Veicināt inovāciju ieviešanu komersantos</t>
  </si>
  <si>
    <t>2.1</t>
  </si>
  <si>
    <t>Paplašināt platjoslas pakalpojumu izvietojumu un sekmēt ātrgaitas tīklu attīstību un atbalstīt jauno tehnoloģiju un tīklu ieviešanu digitālās ekonomikas vajadzībām</t>
  </si>
  <si>
    <t>Satiksmes ministrija</t>
  </si>
  <si>
    <t>2.2</t>
  </si>
  <si>
    <t>Stiprināt IKT lietojumprogrammas e-pārvaldes, e- mācību, e-iekļaušanas, e-kultūras un e-veselības jomā</t>
  </si>
  <si>
    <t>Kultūras mantojuma digitalizācija</t>
  </si>
  <si>
    <t>3.1</t>
  </si>
  <si>
    <t>Veicināt uzņēmējdarbību, jo īpaši atvieglojot jaunu ideju izmantošanu ekonomikā un jaunu uzņēmumu izveidi, tostarp ar uzņēmējdarbības inkubatoru palīdzību</t>
  </si>
  <si>
    <t>Sekmēt MVK izveidi un attīstību, īpaši apstrādes rūpniecībā un RIS3 prioritārajās nozarēs</t>
  </si>
  <si>
    <t>3.2</t>
  </si>
  <si>
    <t>Palielināt augstas pievienotās vērtības produktu un pakalpojumu eksporta proporciju</t>
  </si>
  <si>
    <t>3.3</t>
  </si>
  <si>
    <t>Atbalstīt uzlabotu spēju radīšanu un paplašināšanu produktu un pakalpojumu attīstībai</t>
  </si>
  <si>
    <t>3.4</t>
  </si>
  <si>
    <t>Investīcijas institucionālajās spējās un efektīvā valsts pārvaldē un publiskajos pakalpojumos valsts, reģionālajā un vietējā līmenī, lai panāktu reformas, labāku regulējumu un labu pārvaldību</t>
  </si>
  <si>
    <t>Paaugstināt tiesu un tiesībsargājošo institūciju personāla kompetenci komercdarbības vides uzlabošanas sekmēšanai</t>
  </si>
  <si>
    <t>Tieslietu ministrija</t>
  </si>
  <si>
    <t>Valsts pārvaldes profesionālā pilnveide labāka tiesiskā regulējuma izstrādē mazo un vidējo komersantu atbalsta, korupcijas novēršanas un ēnu ekonomikas mazināšanas jomās</t>
  </si>
  <si>
    <t>Valsts kanceleja</t>
  </si>
  <si>
    <t>4.1</t>
  </si>
  <si>
    <t>Veicināt efektīvu energoresursu izmantošanu, enerģijas patēriņa samazināšanu un pāreju uz AER apstrādes rūpniecības nozarē</t>
  </si>
  <si>
    <t>4.2</t>
  </si>
  <si>
    <t>Atbalstīt energoefektivitāti, viedu energovadību un atjaunojamo energoresursu izmantošanu sabiedriskajā infrastruktūrā, tostarp sabiedriskajās ēkās un mājokļu sektorā</t>
  </si>
  <si>
    <t>Atbilstoši pašvaldības integrētajām attīstības programmām sekmēt energoefektivitātes paaugstināšanu un AER izmantošanu pašvaldību ēkās</t>
  </si>
  <si>
    <t>4.3</t>
  </si>
  <si>
    <t>Veicināt no atjaunojamiem enerģijas avotiem iegūtas enerģijas ražošanu un sadali</t>
  </si>
  <si>
    <t>Veicināt energoefektivitāti un vietējo AER izmantošanu centralizētajā siltumapgādē</t>
  </si>
  <si>
    <t>4.4</t>
  </si>
  <si>
    <t>Veicināt zemu oglekļa emisiju stratēģijas visu veidu teritorijām, jo īpaši pilsētām, tostarp ilgtspējīgu multimodālo mobilitāti pilsētās un ar ietekmes mazināšanu saistītus pielāgošanās pasākumus (ERAF)</t>
  </si>
  <si>
    <t>4.5</t>
  </si>
  <si>
    <t>Veicināt zemu oglekļa emisiju stratēģijas visu veidu teritorijām, jo īpaši pilsētām, tostarp ilgtspējīgu multimodālo mobilitāti pilsētās un ar ietekmes mazināšanu saistītus pielāgošanās pasākumus (KF)</t>
  </si>
  <si>
    <t>Novērst plūdu un krasta erozijas risku apdraudējumu pilsētu teritorijās</t>
  </si>
  <si>
    <t>Zemkopības ministrija</t>
  </si>
  <si>
    <t>5.2</t>
  </si>
  <si>
    <t>Investēt atkritumu apsaimniekošanas nozarē, lai ievērotu Savienības acquis noteiktās prasības vides jomā un nodrošinātu dalībvalstu identificētās vajadzības pēc investīcijām, kas pārsniedz minētās prasības; vides saglabāšana un aizsardzība un resursu efektīvas izmantošanas veicināšana</t>
  </si>
  <si>
    <t>Veicināt dažāda veida atkritumu atkārtotu izmantošanu, pārstrādi un reģenerāciju</t>
  </si>
  <si>
    <t>5.3</t>
  </si>
  <si>
    <t>Investēt ūdenssaimniecības nozarē, lai ievērotu Savienības acquis noteiktās prasības vides jomā un nodrošinātu dalībvalstu identificētās vajadzības pēc investīcijām, kas pārsniedz minētās prasības</t>
  </si>
  <si>
    <t>Attīstīt un uzlabot ūdensapgādes un kanalizācijas sistēmas pakalpojumu kvalitāti un nodrošināt pieslēgšanas iespējas</t>
  </si>
  <si>
    <t>5.4</t>
  </si>
  <si>
    <t>Aizsargāt un atjaunot bioloģisko daudzveidību un augsni un veicināt ekosistēmu pakalpojumus, tostarp ar izmantojot Natura 2000 un zaļo infrastruktūru</t>
  </si>
  <si>
    <t>Saglabāt un atjaunot bioloģisko daudzveidību un aizsargāt ekosistēmas</t>
  </si>
  <si>
    <t>5.5</t>
  </si>
  <si>
    <t>Kultūras ministrija</t>
  </si>
  <si>
    <t>5.6</t>
  </si>
  <si>
    <t>Veikt darbības, lai uzlabotu pilsētvidi, revitalizētu pilsētas, atjaunotu un attīrītu pamestas rūpnieciskās teritorijas (tai skaitā pārveidei paredzētās zonas), samazinātu gaisa piesārņojumu un veicinātu trokšņa mazināšanas pasākumus</t>
  </si>
  <si>
    <t>Veicināt Rīgas pilsētas revitalizāciju, nodrošinot teritorijas efektīvu sociālekonomisko izmantošanu</t>
  </si>
  <si>
    <t>Teritoriju revitalizācija, reģenerējot degradētās teritorijas atbilstoši pašvaldību integrētajām attīstības programmām</t>
  </si>
  <si>
    <t>Vēsturiski piesārņoto vietu sanācija</t>
  </si>
  <si>
    <t>6.1</t>
  </si>
  <si>
    <t>Atbalstīt multimodālu Eiropas vienoto transporta telpu, investējot TEN-T (KF)</t>
  </si>
  <si>
    <t>Palielināt lielo ostu drošības līmeni un uzlabot transporta tīkla mobilitāti</t>
  </si>
  <si>
    <t>Veicināt drošību un vides prasību ievērošanu starptautiskajā lidostā „Rīga”</t>
  </si>
  <si>
    <t>Rīgas pilsētas integrētas transporta sistēmas attīstība</t>
  </si>
  <si>
    <t>Pilsētu infrastruktūras sasaiste ar TEN-T tīklu</t>
  </si>
  <si>
    <t>6.2</t>
  </si>
  <si>
    <t>Attīstīt un atjaunot visaptverošu, kvalitatīvu un savstarpēji savietojamu dzelzceļa sistēmu un mazinot trokšņa mazināšanas pasākumus (KF)</t>
  </si>
  <si>
    <t>Nodrošināt konkurētspējīgu un videi draudzīgu TEN-T dzelzceļa tīklu, veicinot tā drošību, kvalitāti un kapacitāti</t>
  </si>
  <si>
    <t>6.3</t>
  </si>
  <si>
    <t>Pastiprināt reģionālo mobilitāti, pievienojot sekundāros un terciāros transporta mezglus, tostarp multimodālos mezglus, TEN-T infrastruktūrai (ERAF)</t>
  </si>
  <si>
    <t>Nodarbinātība un darbaspēka mobilitāte</t>
  </si>
  <si>
    <t>7.1</t>
  </si>
  <si>
    <t>Nodarbinātības pieejamības nodrošināšana darba meklētājiem un neaktīvām personām, tostarp ilgstošiem bezdarbniekiem un no darba tirgus attālinātām personām, kā arī izmantojot vietējās nodarbinātības iniciatīvas un atbalstu darbaspēka mobilitātei</t>
  </si>
  <si>
    <t>Paaugstināt bezdarbnieku kvalifikāciju un prasmes atbilstoši darba tirgus pieprasījumam</t>
  </si>
  <si>
    <t>Labklājības ministrija</t>
  </si>
  <si>
    <t>Izveidot Darba tirgus apsteidzošo pārkārtojumu sistēmu, nodrošinot tās sasaisti ar Nodarbinātības barometru</t>
  </si>
  <si>
    <t>7.2</t>
  </si>
  <si>
    <t>Jauniešu ilgtspējīga integrācija darba tirgū, īpašu uzmanību pievēršot nodarbinātībā, izglītībā vai apmācībā neiesaistītiem jauniešiem, tostarp jauniešiem, kuriem ir sociālās atstumtības risks, un jauniešiem no sociāli atstumtām kopienām, tostarp ar garantijas jauniešiem shēmas īstenošanu</t>
  </si>
  <si>
    <t>Palielināt nodarbinātībā, izglītībā vai apmācībās neiesaistītu jauniešu nodarbinātību un izglītības ieguvi Jauniešu garantijas ietvaros</t>
  </si>
  <si>
    <t>ESF/JNI</t>
  </si>
  <si>
    <t>Aktīvās darba tirgus politikas pasākumu īstenošana jauniešu bezdarbnieku nodarbinātības veicināšanai</t>
  </si>
  <si>
    <t>Sākotnējās profesionālās izglītības programmu īstenošana Jauniešu garantijas ietvaros</t>
  </si>
  <si>
    <t>7.3</t>
  </si>
  <si>
    <t>Darba ņēmēju, uzņēmumu un uzņēmēju pielāgošanās pārmaiņām</t>
  </si>
  <si>
    <t>Uzlabot darba drošību, it īpaši bīstamo nozaru uzņēmumos</t>
  </si>
  <si>
    <t>Paildzināt gados vecāku nodarbināto darbspēju saglabāšanu un nodarbinātību</t>
  </si>
  <si>
    <t>8.1</t>
  </si>
  <si>
    <t>Investīcijas izglītībā un apmācībā, tostarp profesionālajā apmācībā, lai nodrošinātu prasmju apgūšanu un mūžizglītību, attīstot izglītības un apmācības infrastruktūru</t>
  </si>
  <si>
    <t>Palielināt modernizēto STEM, tajā skaitā medicīnas un radošās industrijas, studiju programmu skaitu</t>
  </si>
  <si>
    <t>Uzlabot pirmā līmeņa profesionālās augstākās izglītības STEM , t.sk. medicīnas un radošās industrijas, studiju mācību vidi koledžās</t>
  </si>
  <si>
    <t>8.2</t>
  </si>
  <si>
    <t>Augstākās izglītības vai pielīdzināma līmeņa izglītības kvalitātes, efektivitātes un pieejamības uzlabošana nolūkā palielināt līdzdalības un sasniegumu līmeni, jo īpaši nelabvēlīgā situācijā esošām grupām</t>
  </si>
  <si>
    <t>Samazināt studiju programmu fragmentāciju un stiprināt resursu koplietošanu</t>
  </si>
  <si>
    <t>Nodrošināt labāku pārvaldību augstākās izglītības institūcijās</t>
  </si>
  <si>
    <t>8.3</t>
  </si>
  <si>
    <t>Priekšlaicīgas mācību pārtraukšanas samazināšana un novēršana un vienlīdzīgas pieejas veicināšana kvalitatīvai pirmsskolas, pamatskolas un vidusskolas izglītībai, tostarp formālām, neformālām un ikdienējām mācību iespējām, kas ļauj mācības pametušajām personām atsākt izglītības iegūšanu un mācības</t>
  </si>
  <si>
    <t>Kompetenču pieejā balstīta vispārējās izglītības satura aprobācija un ieviešana</t>
  </si>
  <si>
    <t xml:space="preserve">Palielināt atbalstu vispārējās izglītības iestādēm izglītojamo individuālo kompetenču attīstībai </t>
  </si>
  <si>
    <t>Atbalsts nacionāla un starptautiska mēroga pasākumu īstenošanai izglītojamo talantu attīstībai</t>
  </si>
  <si>
    <t>Dalība starptautiskos pētījumos</t>
  </si>
  <si>
    <t>8.4</t>
  </si>
  <si>
    <t>Formālas, neformālas un ikdienējas mācīšanās pieejamības uzlabošana visām vecuma grupām, darbaspēka zināšanu, prasmju un kompetenču uzlabošana un elastīgu mācību iespēju veicināšana, tostarp ar profesionālo orientāciju un iegūto kompetenču apstiprināšanu</t>
  </si>
  <si>
    <t>8.5</t>
  </si>
  <si>
    <t>Darba tirgus nozīmes palielināšana izglītības un apmācības sistēmās, pārejas veicināšana no izglītības uz nodarbinātību un profesionālās izglītības un apmācības sistēmu un to kvalitātes uzlabošana, tostarp ar vajadzīgo prasmju prognozēšanas mehānismiem, studiju programmu pielāgošanu un uz darbu balstītu mācību programmu, tostarp duālu mācību programmu un māceklības shēmu, izstrādi</t>
  </si>
  <si>
    <t>9.1</t>
  </si>
  <si>
    <t>Aktīva iekļaušana ar mērķi veicināt nodarbinātību, tostarp lai veicinātu vienlīdzīgas iespējas un aktīvu līdzdalību un uzlabotu nodarbinātību</t>
  </si>
  <si>
    <t>Subsidētās darba vietas nelabvēlīgākā situācijā esošiem bezdarbniekiem</t>
  </si>
  <si>
    <t>9.2</t>
  </si>
  <si>
    <t>Paaugstināt sociālo dienestu darba efektivitāti un darbinieku profesionalitāti darbam ar riska situācijās esošām personām</t>
  </si>
  <si>
    <t>Palielināt kvalitatīvu institucionālai aprūpei alternatīvu sociālo pakalpojumu dzīvesvietā un ģimeniskai videi pietuvinātu pakalpojumu pieejamību personām ar invaliditāti un bērniem</t>
  </si>
  <si>
    <t>Atbalstīt prioritāro (sirds un asinsvadu, onkoloģijas, perinatālā un neonatālā perioda aprūpes un garīgās veselības) veselības jomu veselības tīklu attīstības vadlīniju un kvalitātes nodrošināšanas sistēmas izstrādi un ieviešanu, jo īpaši sociālās atstumtības un nabadzības riskam pakļauto iedzīvotāju veselības uzlabošanai</t>
  </si>
  <si>
    <t>Veselības ministrija</t>
  </si>
  <si>
    <t>Uzlabot pieejamību veselības veicināšanas un slimību profilakses pakalpojumiem, jo īpaši, nabadzības un sociālās atstumtības riskam pakļautajiem iedzīvotājiem</t>
  </si>
  <si>
    <t>Kompleksi veselības veicināšanas un slimību profilakses pasākumi</t>
  </si>
  <si>
    <t>Pasākumi vietējās sabiedrības veselības veicināšanai un slimību profilaksei</t>
  </si>
  <si>
    <t>9.3</t>
  </si>
  <si>
    <t xml:space="preserve">Investējot veselības aprūpes un sociālajā infrastruktūrā, kas sniedz ieguldījumu valsts, reģionālajā un vietējā attīstībā, mazinot atšķirības veselības stāvokļa ziņā un veicinot sociālo iekļaušanu ar sociālo, kultūras un atpūtas pakalpojumu uzlabotas pieejamības palīdzību, un veicinot pāreju no institucionāliem uz pašvaldību pakalpojumiem </t>
  </si>
  <si>
    <t>9.3.1</t>
  </si>
  <si>
    <t>Attīstīt pakalpojumu infrastruktūru bērnu aprūpei ģimeniskā vidē un personu ar invaliditāti neatkarīgai dzīvei un integrācijai sabiedrībā</t>
  </si>
  <si>
    <t>Uzlabot kvalitatīvu veselības aprūpes pakalpojumu pieejamību, jo īpaši sociālās, teritoriālās atstumtības un nabadzības riskam pakļautajiem iedzīvotājiem, attīstot veselības aprūpes infrastruktūru</t>
  </si>
  <si>
    <t>10</t>
  </si>
  <si>
    <t>Tehniskā palīdzība „ESF atbalsts KP fondu ieviešanai un vadībai”</t>
  </si>
  <si>
    <t>Palielināt KP fondu izvērtēšanas kapacitāti</t>
  </si>
  <si>
    <t>Finanšu ministrija</t>
  </si>
  <si>
    <t>Paaugstināt informētību par Kohēzijas politikas fondiem, sniedzot atbalstu informācijas un komunikācijas pasākumiem</t>
  </si>
  <si>
    <t>11</t>
  </si>
  <si>
    <t>Tehniskā palīdzība „ERAF atbalsts KP fondu ieviešanai un vadībai”</t>
  </si>
  <si>
    <t>12</t>
  </si>
  <si>
    <t>Tehniskā palīdzība “KF atbalsts KP ieviešanai un vadībai”</t>
  </si>
  <si>
    <t>Vides monitoringa un kontroles sistēmas attīstība un sabiedrības līdzdalības vides pārvaldībā veicināšana</t>
  </si>
  <si>
    <t xml:space="preserve">Veicināt Rīgas pilsētas revitalizāciju, nodrošinot teritorijas efektīvu sociālekonomisko izmantošanu </t>
  </si>
  <si>
    <t>Inovācijas granti studentiem</t>
  </si>
  <si>
    <t>Atkritumu pārstrādes un reģenerācijas veicināšana</t>
  </si>
  <si>
    <t>Multimodāla transporta mezgla izbūve Torņkalna apkaimē</t>
  </si>
  <si>
    <t>Ilgstošo bezdarbnieku aktvizācijas pasākumi</t>
  </si>
  <si>
    <t>2.3.</t>
  </si>
  <si>
    <t>Iesniegti projekti (izņemot noraidītus, atsauktus un pārtrauktus)</t>
  </si>
  <si>
    <t xml:space="preserve">https://www.kase.gov.lv/parskati/es-lidzeklu-izmantosana </t>
  </si>
  <si>
    <t xml:space="preserve">Nodarbinātība un darbaspēka mobilitāte </t>
  </si>
  <si>
    <t>Paaugstināt sociālo dienestu darba efektivitāti un darbinieku profesionalitāti darbam ar riska situācijā esošām personām.</t>
  </si>
  <si>
    <t>Jaunā perioda statusu tabula</t>
  </si>
  <si>
    <t>Iepriekšējā perioda sākums:</t>
  </si>
  <si>
    <t>Rādīt projektus:</t>
  </si>
  <si>
    <t>Rādīt veiktos maksājumus un sarēķinātās atgūtās summas:</t>
  </si>
  <si>
    <t>Rādīt EK deklarētos izdevumus:</t>
  </si>
  <si>
    <t>Iesniegtie projekti (izņemot noraidītus un atsauktus)</t>
  </si>
  <si>
    <t>Fondu finansējums</t>
  </si>
  <si>
    <t>Kopējais piešķīrums (finansējums+virssaistības)</t>
  </si>
  <si>
    <t>2.2.=2+2.1</t>
  </si>
  <si>
    <t>3.1.=3/2</t>
  </si>
  <si>
    <t>4.1.=4/2</t>
  </si>
  <si>
    <t>5.1.=5/2</t>
  </si>
  <si>
    <t>6.1.=6/2</t>
  </si>
  <si>
    <t>Atskaites sagatavošanas datums un laiks:</t>
  </si>
  <si>
    <t>Atskaiti sagatavoja:</t>
  </si>
  <si>
    <t>SAM/SAMP informācija</t>
  </si>
  <si>
    <t>Saīsinājumi</t>
  </si>
  <si>
    <t>Nosaukumi: Prioritārais virziens/Ieguldījumu prioritāte/SAM</t>
  </si>
  <si>
    <t>Ministrija</t>
  </si>
  <si>
    <t>Darbības apraksts</t>
  </si>
  <si>
    <t>Īss nosaukums (Latviski)</t>
  </si>
  <si>
    <t>Garš nosaukums (Angliski)</t>
  </si>
  <si>
    <t>Īss nosaukums (Angliski)</t>
  </si>
  <si>
    <t>P&amp;A&amp;I</t>
  </si>
  <si>
    <t xml:space="preserve">Research, technological development and innovation  </t>
  </si>
  <si>
    <t>R&amp;D&amp;I</t>
  </si>
  <si>
    <t>Uzlabot P&amp;I infrastruktūru un attīstīt izcilību</t>
  </si>
  <si>
    <t>Improve the R&amp;I infrastructure and ability to develop R&amp;I excellence,
as well as promote creation of competence centres, especially centres of European importance.</t>
  </si>
  <si>
    <t>Zinātnisko institūciju P&amp;I kapacitāte</t>
  </si>
  <si>
    <t>Improve research and innovation capacity and the ability of Latvian research institutions to attract external funding, by investing in human capital and infrastructure.</t>
  </si>
  <si>
    <t xml:space="preserve">Improve R&amp;I research institutions' capacity </t>
  </si>
  <si>
    <t>Atbalsts pētījumu īstenošanai ar augstu komercializācijas potenciālu, piesaistot zinātniekus, doktorantus un maģistrantus inovatīvu risinājumu izstrādei praktisku tautsaimniecības problēmu risināšanai, tādējādi veicinot sadarbību starp uzņēmumiem un zinātniskajām institūcijām un nodrošinot zināšanu pārnesi viedās specializācijas jomās.</t>
  </si>
  <si>
    <t>Support for applied research</t>
  </si>
  <si>
    <t>Applied research</t>
  </si>
  <si>
    <t>Atbalsts tiek sniegts jaunajiem zinātniekiem pēcdoktorantūras pētījumu īstenošanai viedās specializācijas jomās, uzlabojot jauno zinātnieku karjeras uzsākšanas iespējas zinātniskajās institūcijās un pie komersantiem.</t>
  </si>
  <si>
    <t>Pēcdoktorantūras pētniecība</t>
  </si>
  <si>
    <t>Support for postdoctoral research</t>
  </si>
  <si>
    <t>Postdoctoral research</t>
  </si>
  <si>
    <t>Atbalsts tiks sniegts studentu pētniecības un inovācijas projektu īstenošanai, jaunu produktu un tehnoloģiju izstrādei, inovatīvu risinājumu izstrādei praktisku nozares vai sabiedrības problēmu risināšanai dzīvības zinātņu, tehnoloģiju, inženierzinātņu un matemātikas nozarēs.</t>
  </si>
  <si>
    <t>Innovation grants for students</t>
  </si>
  <si>
    <t>Atbalsts tiks sniegts pētniecības un attīstības infrastruktūras izveidei Viedās specializācijas stratēģijas specializācijas jomās, kā arī  zinātnisko institūciju institucionālās kapacitātes stiprināšanai, ieviešot zinātnisko institūciju darbības kvalitātes ārējā izvērtējuma rekomendācijas konkurētspējas palielināšanai starptautiskā līmenī un mērķtiecīgiem zinātnisko institūciju konsolidācijas pasākumiem.</t>
  </si>
  <si>
    <t>P&amp;A infrastruktūra</t>
  </si>
  <si>
    <t>Support for development of science infrastructure</t>
  </si>
  <si>
    <t>R&amp;D infrastructure</t>
  </si>
  <si>
    <t>Atbalsts tiks sniegts Eiropas Pētniecības telpas bilaterālās un multilaterālās sadarbības projektu izstrādei (tajā skaitā zinātnisko institūciju un komersantu sadarbībai) un dalībai starptautiskos pētniecības, tīklošanās un sadraudzības pasākumos un Eiropas pētniecības infrastruktūru stratēģiskā foruma infrastruktūras objektos, kā arī atbalsts sinerģijas veidošanai ar dalību starptautiskās sadarbības programmu projektos pētniecības un tehnoloģiju jomās.
Papildus atbalsts plānots programmas Apvārsnis 2020 Latvijas Nacionālā kontaktpunkta kapacitātes stiprināšanai.</t>
  </si>
  <si>
    <t>Starptautiskā sadarbība P&amp;I</t>
  </si>
  <si>
    <t xml:space="preserve">Support for international collaboration projects in research and innovation </t>
  </si>
  <si>
    <t>International collaboration in R&amp;I</t>
  </si>
  <si>
    <t>Uzņēmumu P&amp;I un sadarbība ar pētniecības un augstākās izglītības nozarēm.</t>
  </si>
  <si>
    <t>Promoting enterprise investments in R&amp;I and creating links and synergies between businesses, research and development centres and the higher education sector, in particular by promoting investments in product and service (including creative product) development, technology transfer, social innovation, eco-innovation, public service applications, demand stimulation, networking, cluster creation and open innovation with the help of smart specialization and supporting technological and applied research, pilot projects, approval of production in the early design phase, increasing the production capacity and the first production, especially in relation to key enabling technologies and diffusion of general purpose technologies</t>
  </si>
  <si>
    <t>R&amp;I in enterprises and cooperation with research and higher education sector.</t>
  </si>
  <si>
    <t>Privātā sektora P&amp;A</t>
  </si>
  <si>
    <t>To increase investments of private sector in R&amp;D</t>
  </si>
  <si>
    <t>Private sector R&amp;D investments</t>
  </si>
  <si>
    <t xml:space="preserve">Atbalsts kompetences centru darbībai Viedās specializācijas stratēģijas specializācijas jomās. Kompetences centru ietvaros atbalsts plānots jaunu produktu un tehnoloģiju izstrādei,  eksperimentālām izstrādnēm (tajā skaitā demonstrācijas prototipu izstrāde) un rūpnieciskiem pētījumiem. </t>
  </si>
  <si>
    <t>Kompetences centri</t>
  </si>
  <si>
    <t xml:space="preserve">Support for development of new products and technologies within competence centres </t>
  </si>
  <si>
    <t xml:space="preserve">Competence centres </t>
  </si>
  <si>
    <t xml:space="preserve">Atbalsts tehnoloģiju pārneses procesa īstenošanai pētniecības organizācijās, veicot lietišķās pētniecības projektu monitoringu un identificējot komercializācijas iespējas, kā arī izveidojot pētniecības rezultātu komercializācijas fondu ideju patentēšanai, prototipēšanai un testēšanai. Paralēli norit inovāciju vaučeru piešķiršana maziem un vidējiem komersantiem jaunu produktu un tehnoloģiju izstrādei, rūpnieciskā īpašuma tiesību nostiprināšanai un sertificēšanas pakalpojumiem.  </t>
  </si>
  <si>
    <t>Tehnoloģiju pārneses sistēma</t>
  </si>
  <si>
    <t>Support for improvement of technology transfer system</t>
  </si>
  <si>
    <t>Technology transfer system</t>
  </si>
  <si>
    <t xml:space="preserve">Atbalsts tiek sniegts komersantiem jaunu produktu un tehnoloģiju ieviešanai ražošanā un komersantu produktivitātes paaugstināšanai, vienlaikus veicinot komersantu pašu ieguldījumus pētniecībā un attīstībā. </t>
  </si>
  <si>
    <t xml:space="preserve">Jaunu produktu ieviešana </t>
  </si>
  <si>
    <t>Support for new product launch</t>
  </si>
  <si>
    <t>New product launch</t>
  </si>
  <si>
    <t>Inovāciju ieviešana komersantos</t>
  </si>
  <si>
    <t>To facilitate implementation of innovations in enterprises.</t>
  </si>
  <si>
    <t>Innovations in enterprises</t>
  </si>
  <si>
    <t>Atbalsts tiks sniegts nodarbināto personu apmācību organizēšanai, lai nodrošinātu komersantus ar atbilstošas kvalifikācijas darbaspēku, kas sekmētu jaunu vai uzlabotu produktu un tehnoloģiju izstrādi / ieviešanu ražošanā un darba ražīguma pieaugumu.</t>
  </si>
  <si>
    <t>Nodarbināto apmācības</t>
  </si>
  <si>
    <t xml:space="preserve">
Support for employee training  </t>
  </si>
  <si>
    <t xml:space="preserve">
Employee training  </t>
  </si>
  <si>
    <t>Tiks sniegts informatīvs un konsultatīvs atbalsts skolēniem, studentiem, biznesa ideju autoriem, potenciālajiem uzņēmējdarbības uzsācējiem par dažādām ar uzņēmējdarbību un inovācijām saistītām tēmām, lai sabiedrībai radītu izpratni par inovācijām un pilnveidotu uzņēmējdarbības prasmes.</t>
  </si>
  <si>
    <t>Inovāciju motivācija</t>
  </si>
  <si>
    <t xml:space="preserve">Innovation motivation programme </t>
  </si>
  <si>
    <t xml:space="preserve">Innovation motivation </t>
  </si>
  <si>
    <t xml:space="preserve">Atbalsts tiks sniegts nodarbināto personu apmācību organizēšanai, lai uzlabotu to IKT prasmes, prasmes ieviest netehnoloģiskas inovācijas, kā arī apmācības ārvalstu investīciju piesaistei. </t>
  </si>
  <si>
    <t>IKT un netehnoloģiskās apmācības</t>
  </si>
  <si>
    <t>Support for ICT and non-technological training as well for training to facilitate the attraction of investors</t>
  </si>
  <si>
    <t xml:space="preserve">ICT and non-technological training </t>
  </si>
  <si>
    <t>Informāciju un komunikāciju tehnoloģijas (IKT)</t>
  </si>
  <si>
    <t xml:space="preserve">Availability of the ICT, e-government and services  </t>
  </si>
  <si>
    <t>Information and Communication Technologies (ICT)</t>
  </si>
  <si>
    <t>Platjoslu pakalpojumi</t>
  </si>
  <si>
    <t>To extend the deployment of broadband services and the roll-out of high-speed networks and support the adoption of emerging technologies and networks for the digital economy</t>
  </si>
  <si>
    <t xml:space="preserve">Broadband services </t>
  </si>
  <si>
    <t>Elektronisko sakaru infrastruktūras izveide, lai nodrošinātu elektronisko sakaru tīklu pieejamību lietotājiem lauku teritorijās</t>
  </si>
  <si>
    <t>Platjoslas infrastruktūra</t>
  </si>
  <si>
    <t>To improve accessibility of the electronic communication infrastructure in rural areas</t>
  </si>
  <si>
    <t xml:space="preserve">Broadband infrastructure </t>
  </si>
  <si>
    <t>IKT lietojumprogrammu stiprināšana</t>
  </si>
  <si>
    <t>To strengthen ICT applications for e-government, e-learning, e-inclusion, e-culture and e-health</t>
  </si>
  <si>
    <t xml:space="preserve">To strengthen ICT applications </t>
  </si>
  <si>
    <t>IKT un procesu pilnveide</t>
  </si>
  <si>
    <t>To ensure increase in the re-use of public data and efficient interaction of the public administration and the private sector</t>
  </si>
  <si>
    <t>ICT and development of processes</t>
  </si>
  <si>
    <t xml:space="preserve">Centralizētu publiskās pārvaldes Informācijas un komunikācijas tehnoloģiju platformu izveide, vai tām nepieciešamo un ar tām sadarbojošos informācijas sistēmu (t.sk. nozaru) izveide un attīstība, t.sk. esošu saskarņu pārveidošana un jaunu saskarņu izveide; semantiskā un tehnoloģiskā publiskās pārvaldes informācijas sistēmu savietošana. Darbības procesu un pakalpojumu piegādes procesu uzlabošana, kā arī tam nepieciešamā satura digitalizācija, lietojamības pilnveide, datu kvalitātes pilnveide.  Pakalpojumu (t.sk. e-komercija) pielāgošana sadarbībai Eiropas vienotajā tirgū. </t>
  </si>
  <si>
    <t>Establishment of centralized ICT platforms for public administration, development and optimization of operational processes </t>
  </si>
  <si>
    <t>ICT</t>
  </si>
  <si>
    <t>Digitalizācija, dažāda satura informācijas digitalizācija, publiskas pieejamības nodrošināšana. Pasākuma ietvaros plānots īstenot aktivitātes, lai veiktu kultūras mantojuma digitalizēšanu un izveidotu publiski pieejamas digitālās kolekcijas, attīstītu saistītos e-pakalpojumus, kas pēc iespējas plaši nodrošinātu digitālā kultūras mantojuma un kultūras satura resursu pieejamību sabiedrībai.</t>
  </si>
  <si>
    <t xml:space="preserve">Digitization of cultural heritage </t>
  </si>
  <si>
    <t>MVK konkurētspēja</t>
  </si>
  <si>
    <t>Competitiveness of small and medium-sized enterprises </t>
  </si>
  <si>
    <t>SME Competitiveness</t>
  </si>
  <si>
    <t>Uzņēmējdarbības veicināšana</t>
  </si>
  <si>
    <t>Promotion of Entrepreneurship</t>
  </si>
  <si>
    <t>MVK izveide un attīstība</t>
  </si>
  <si>
    <t>Facilitate establishment and development of SME’s in particular in manufacturing and RIS3 priority industries</t>
  </si>
  <si>
    <t>Establishment and development of  SME's</t>
  </si>
  <si>
    <t>Atbalsts garantiju veidā, nodrošinot finansējuma pieejamību saimnieciskās darbības veicējiem situācijās, kad to rīcībā esošais nodrošinājums nav pietiekams kredītresursu piesaistei nepieciešamajā apjomā vai arī darījums ir augsta riska.</t>
  </si>
  <si>
    <t xml:space="preserve">Loan guarantees  </t>
  </si>
  <si>
    <t>Atbalsts subordinētu aizdevumu veidā, nodrošinot finansējuma pieejamību saimnieciskās darbības veicējiem situācijās, kad to pašu kapitāls nav pietiekams kredītresursu piesaistei nepieciešamajā apjomā vai arī darījums ir augsta riska.</t>
  </si>
  <si>
    <t xml:space="preserve">Mezzanine loans  </t>
  </si>
  <si>
    <t>Finansējums augsta izaugsmes potenciāla MVK pirms sēklas, sēklas, agrīnās attīstības vai izaugsmes stadijā kopā ar privātajiem investoriem (biznesa eņģeļiem) vai citiem ne-institucionāliem investoriem.</t>
  </si>
  <si>
    <t>Atbalsts saimnieciskās darbības  veicēju izveidei un attīstībai, sniedzot mikroaizdevumus un augsta riska aizdevumus, kā arī nodrošinot konsultācijas un apmācības.</t>
  </si>
  <si>
    <t>Mikrokredīti un starta aizdevumi</t>
  </si>
  <si>
    <t xml:space="preserve">Microcredits and start-up loans </t>
  </si>
  <si>
    <t>Atbalsts tiks sniegts apstrādes rūpniecības mazo un vidējo komersantu attīstībai, nodrošinot industriālo teritoriju un telpu izveidi un attīstību, prioritāri atbalstot projektus, kas tiek īstenoti Viedās specializācijas jomās.</t>
  </si>
  <si>
    <t>Ražošanas telpas</t>
  </si>
  <si>
    <t xml:space="preserve">Support for development and reconstruction of industrial property and infrastructure </t>
  </si>
  <si>
    <t xml:space="preserve">Industrial premises and infrastructure </t>
  </si>
  <si>
    <t xml:space="preserve">Atbalsts jaunu, dzīvotspējīgu un konkurētspējīgu komersantu izveidei un attīstībai Latvijas reģionos, nodrošinot tos ar uzņēmējdarbībai nepieciešamo vidi, konsultatīvajiem pakalpojumiem un finansējuma pieejamību.
Tiks sniegto biznesa inkubatoru pirmsinkubācijas un inkubācijas pakalpojumi, kā arī granti jaunu produktu attīstībai un ieviešanai ražošanā, tekošo izdevumu segšanai. </t>
  </si>
  <si>
    <t>Biznesa inkubatori</t>
  </si>
  <si>
    <t xml:space="preserve">Regional business incubators and incubator for creative industries </t>
  </si>
  <si>
    <t>Business incubators</t>
  </si>
  <si>
    <t>To increase number of high growth enterprises</t>
  </si>
  <si>
    <t>Increase of high growth enterprises</t>
  </si>
  <si>
    <t>Finansējums straujas izaugsmes MVK un jaunu inovatīvu MVK izveidei, nodrošinot riska kapitāla investīcijas tādos MVK, kuros neiegulda tradicionālie finansētāji pārāk augsta riska dēļ.</t>
  </si>
  <si>
    <t xml:space="preserve">Venture capital   </t>
  </si>
  <si>
    <t>Integrētie mentoringa un finansēšanas pakalpojumi pirms sēklas stadijas investīcijām MVK, lai veiktu projekta ieceres dzīvotspējas pārbaudi, kā arī pēc- investīcijas pēc veiksmīgas akseleratora programmas pabeigšanas.</t>
  </si>
  <si>
    <t xml:space="preserve">Technology accelerators </t>
  </si>
  <si>
    <t xml:space="preserve">MVK konkurētspēju veicināšana starptautisko tirgu apgūšanai </t>
  </si>
  <si>
    <t>Supporting the capacity of SMEs to engage in regional, national and
international markets, and innovation processes</t>
  </si>
  <si>
    <t xml:space="preserve">SMEs international competitiveness and access to external markets </t>
  </si>
  <si>
    <t xml:space="preserve">Augstas pievienotās vērtības produktu eksporta palielināšana </t>
  </si>
  <si>
    <t>To increase export proportion of high value added products and services</t>
  </si>
  <si>
    <t>Export promotion of high value added products</t>
  </si>
  <si>
    <t>Atbalsts klasteru attīstībai, kas ietver pasākumu koordinēšanu, starptautiskās sadarbības veicināšanu, atpazīstamības un mārketinga pasākumus, pakalpojumus klastera dalībniekiem, sadarbību ar izglītības un zinātniskajām institūcijām.</t>
  </si>
  <si>
    <t>Clusters program</t>
  </si>
  <si>
    <t>Atbalsts maziem un vidējiem komersantiem dalībai izstādēs, konferencēs ārvalstīs, dalībai tirdzniecības misijās un atbalsts produkta vai komersantu akreditācijai, sertifikācijai, reģistrācijai.
Konsultācijas un atbalsts komersantiem ārējo tirgu apgūšanai un pasākumi ārvalstu investīciju piesaistei.
Nacionālo stendu organizēšana starptautiskajās tūrisma izstādēs ārvalstīs, kā arī tūrisma mārketinga pasākumu īstenošana Latvijā un ārvalstīs.</t>
  </si>
  <si>
    <t>Starptautiskā konkurētspēja</t>
  </si>
  <si>
    <t xml:space="preserve">Support for international competitiveness  </t>
  </si>
  <si>
    <t xml:space="preserve"> International competitiveness</t>
  </si>
  <si>
    <t>Produktu un pakalpojumu attīstība un  kapacitāte</t>
  </si>
  <si>
    <t>Supporting the creation and the extension of advanced capacities for
product and service development.</t>
  </si>
  <si>
    <t>Development and capacity of product and services</t>
  </si>
  <si>
    <t>Atbalsts industriālo pieslēgumu ierīkošanai un to saistītās jaudas palielināšanai, ceļu satiksmei paredzētās infrastruktūras attīstīšanai, komercdarbības mērķiem paredzēto ēku un to infrastruktūras attīstīšanai, teritorijas labiekārtošanai.</t>
  </si>
  <si>
    <t>Publiskā infrastruktūra uzņēmējdarbībai</t>
  </si>
  <si>
    <t>To increase private investments in regions, by making investments for entrepreneurship development according to economic specialization of territories stated in development programmes of municipalities and based on needs of local entrepreneurs</t>
  </si>
  <si>
    <t>Public infrastructure for business</t>
  </si>
  <si>
    <t>Valsts pārvaldes efektivitāte</t>
  </si>
  <si>
    <t>Investment in institutional capacity and in the efficiency of public administration and public services at the national, regional and local levels with a view to reforms, better regulation and good governance</t>
  </si>
  <si>
    <t>Efficiency of public administration</t>
  </si>
  <si>
    <t>Specifiskā atbalsta mērķa ietvaros paredzēts atbalsts:
-  mācību vajadzību apzināšanai un izvērtēšanai, tajā skaitā dalībnieku apmierinātības aptaujām;
-  profesionālo kompetenču attīstīšanas programmu, mācību moduļu, metodiku, rokasgrāmatu, mācību programmu un materiālu izstrādei un pilnveidošanai, vienotas tiesu prakses piemēru un judikatūras apkopošanai un publicēšanai;
-  tiesu sistēmas izvērtējuma nodrošināšanai;
-  saturisko un valodu apmācību, semināru, konferenču, darba grupu un pieredzes apmaiņas organizēšanai un īstenošanai, tai skaitā ārpus Eiropas Savienības;
-  kompetenču modeļa izstrādei;
-  mācību dokumentu un mācību materiālu vadības sistēmas izveidei un pilnveidošanai un nepieciešamo datubāzu izstrādei, pilnveidošanai un pielāgošanai;</t>
  </si>
  <si>
    <t>Tiesu un tiesībsargājošo institūciju darbinieku apmācība</t>
  </si>
  <si>
    <t>To improve the competence of the staff of courts and law enforcement authorities in order to promote improvement of business environment</t>
  </si>
  <si>
    <r>
      <t>Training for judicial authorities</t>
    </r>
    <r>
      <rPr>
        <strike/>
        <sz val="14"/>
        <rFont val="Times New Roman"/>
        <family val="1"/>
        <charset val="186"/>
      </rPr>
      <t/>
    </r>
  </si>
  <si>
    <t>Valsts pārvaldes profesionālā pilnveide un sociālā dialoga attīstība labāka tiesiskā regulējuma izstrādē mazo un vidējo komersantu atbalsta, korupcijas novēršanas un ēnu ekonomikas mazināšanas jomās</t>
  </si>
  <si>
    <t>Specifiskā atbalsta mērķa ietvaros paredzēts atbalsts:
-  mācību vajadzību apzināšanai un izvērtēšanai;
-  profesionālo kompetenču attīstīšanas programmu, mācību moduļu, metodiku, rokasgrāmatu un materiālu izstrādei un pilnveidošanai, labās prakses piemēru apkopošanai un publicēšanai;
-  apmācību, semināru, konferenču un pieredzes apmaiņas organizēšanai un īstenošanai, tai skaitā ārpus Eiropas Savienības; 
-  apmācību rezultātu izvērtējumu un dalībnieku apmierinātības aptaujām;
-  apmācību nodrošināšanai nepieciešamo datubāzu pilnveidošanai un pielāgošanai;
-  mācību dokumentu un mācību materiālu vadības sistēmas izveidei un pilnveidošanai;
-  izveidoto mācību moduļu un programmu pirmreizējai sertificēšanai un licencēšanai;
-  komersantu, nevalstisko organizāciju un sabiedrības salīdzinošo vērtējumu par valsts pārvaldes profesionālās pilnveides progresu un kapacitāti uzņēmējdarbības vides uzlabošanas, administratīvā sloga mazināšanas un korupcijas un ēnu ekonomikas mazināšanas jomā;</t>
  </si>
  <si>
    <t>Valsts pārvaldes profesionālā pilnveide un sociālā dialoga attīstība</t>
  </si>
  <si>
    <r>
      <t>Professional development of public administration and development of social dialogue</t>
    </r>
    <r>
      <rPr>
        <b/>
        <sz val="14"/>
        <color theme="1"/>
        <rFont val="Times New Roman"/>
        <family val="1"/>
        <charset val="186"/>
      </rPr>
      <t xml:space="preserve"> </t>
    </r>
    <r>
      <rPr>
        <sz val="14"/>
        <color theme="1"/>
        <rFont val="Times New Roman"/>
        <family val="1"/>
        <charset val="186"/>
      </rPr>
      <t>of better
legal regulation in the fields of support to small and medium-sized enterprises, anti-corruption and mitigation of the shadow economy</t>
    </r>
  </si>
  <si>
    <t>Professional development of public administration and facilitation of social dialogue</t>
  </si>
  <si>
    <t>Valsts pārvaldes darbinieku apmācības</t>
  </si>
  <si>
    <t>Training for public administration</t>
  </si>
  <si>
    <t>Sociālā dialoga veidošana</t>
  </si>
  <si>
    <t>Development of social dialogue for better regulation elaboration in business field</t>
  </si>
  <si>
    <t>Social dialogue</t>
  </si>
  <si>
    <t>Videi draudzīga ekonomika</t>
  </si>
  <si>
    <t>Shift towards a low-carbon economy in all sectors </t>
  </si>
  <si>
    <t>Environmentally friendly economy</t>
  </si>
  <si>
    <t>Energoefektivitāte un atjaunojamie energoresursi uzņēmumos</t>
  </si>
  <si>
    <t>To promote energy efficiency and renewable energy use in enterprises</t>
  </si>
  <si>
    <t>Energy efficiency and renewable energy in enterprises</t>
  </si>
  <si>
    <t>Apstrādes rūpniecības komersantu ēku energoefektivitātes uzlabošanas pasākumi, ēku energosertifikācija un būvdarbi energoefektivitātes palielināšanai, jaunu un efektīvu atjaunojamo energoresursu (AER) izmantojošu siltumenerģijas ražošanas un ūdens sildīšanas iekārtu iegādei un uzstādīšanai.</t>
  </si>
  <si>
    <t>Apstrādes rūpniecības uzņēmumu energoefektivitāte</t>
  </si>
  <si>
    <t>To promote effective use of energy resources, reduction of energy consumption and transfer to RES in manufacturing industry.</t>
  </si>
  <si>
    <t xml:space="preserve">Energy efficiency in manufacturing industry </t>
  </si>
  <si>
    <t xml:space="preserve">Dzīvojamo un valsts ēku energoefektivitāte </t>
  </si>
  <si>
    <t xml:space="preserve">Energy efficiency of public and residential buildings </t>
  </si>
  <si>
    <t>Daudzdzīvokļu dzīvojamo ēku energoefektivitātes paaugstināšana un būvdarbi energoefektivitātes palielināšanai, kā arī AER izmantošanai ēkās, ja tiek sasniegti īpaši augsti energoefektivitātes rādītāji un AER iekārtu uzstādīšana līdzās energoefektivitātes pasākumiem ir ekonomiski pamatota.</t>
  </si>
  <si>
    <t xml:space="preserve">Daudzdzīvokļu māju energoefektivitāte </t>
  </si>
  <si>
    <t xml:space="preserve">To promote the increase of energy efficiency in residential buildings  </t>
  </si>
  <si>
    <t>Energy efficiency in multi-apartment buildings</t>
  </si>
  <si>
    <t>Ēku energoefektivitātes paaugstināšana, ēku energosertifikācija un būvdarbiem energoefektivitātes palielināšanai, kā arī AER izmantošanai ēkās, ja tiek sasniegti īpaši augsti energoefektivitātes rādītāji un AER iekārtu uzstādīšana līdzās energoefektivitātes pasākumiem ir ekonomiski pamatota.</t>
  </si>
  <si>
    <t>Valsts ēku energoefektivitāte</t>
  </si>
  <si>
    <t>To promote the increase of energy efficiency in public buildings</t>
  </si>
  <si>
    <t>Energy efficiency in public buildings</t>
  </si>
  <si>
    <t>Atbalsts esošu ēku pārbūvei vai atjaunošanai, tai skaitā būvdarbi ēkas norobežojošajās konstrukcijās, kas nodrošina ēkas energoefektivitātes paaugstināšanu un kas ir paredzēti ēkas energosertifikātā,  lokālās vai autonomās siltumapgādes infrastruktūras pārbūvei vai atjaunošanai, kas ir paredzēta ēkas energosertifikātā, atjaunojamo energoresursus izmantojošu siltumenerģiju ražojošu iekārtu iegādei un uzstādīšanai, kas ir paredzēta ēkas energosertifikātā.</t>
  </si>
  <si>
    <t>Pašvaldību ēku energoefektivitāte</t>
  </si>
  <si>
    <t>According to the integrated development programme of the municipality, to facilitate the increase of energy efficiency in municipal buildings</t>
  </si>
  <si>
    <t>Energy efficiency in municipal buildings</t>
  </si>
  <si>
    <t>Atjaunojamo energoresursu izmantošana</t>
  </si>
  <si>
    <t>To promote the production and distribution of energy derived from renewable sources</t>
  </si>
  <si>
    <t>Use of renewable sources</t>
  </si>
  <si>
    <t>Atbalsts paredzēts siltumavotu pārbūvei energoefektivitātes paaugstināšanai un pārejai uz atjaunojamo energoresursu izmantošanu centrālapkurē, t.sk. tehnoloģisko iekārtu iegādei un uzstādīšanai. Paredzēta siltumenerģijas pārvades un sadales sistēmas energoefektivitātes paaugstināšana.</t>
  </si>
  <si>
    <t xml:space="preserve"> Centralizētās siltumapgādes energoefektivitāte</t>
  </si>
  <si>
    <t>To promote energy efficiency and use of local RES in district heat supply</t>
  </si>
  <si>
    <t xml:space="preserve">Energy efficiency in district heat supply </t>
  </si>
  <si>
    <t>Zemu oglekļa emisiju stratēģijas, īpaši mobilitātei pilsētvidē</t>
  </si>
  <si>
    <t>To promote low-carbon strategies for all types of territories, in particular for urban areas, including the promotion of sustainable multimodal urban mobility and mitigation-relevant adaptation measures (ERDF)</t>
  </si>
  <si>
    <t>Low carbon strategies especially for mobility in urban areas</t>
  </si>
  <si>
    <t>Atbalsts paredzēts nacionāla līmeņa elektrotransportlīdzekļu uzlādes infrastruktūras un to vadības operatoru centra programmatūras izveidei.</t>
  </si>
  <si>
    <t>Elektro transportlīdzekļu infrastruktūra</t>
  </si>
  <si>
    <t>To develop EV charging infrastructure in Latvia</t>
  </si>
  <si>
    <t xml:space="preserve">Electric vehicle infrastructure </t>
  </si>
  <si>
    <t>Promoting of low-carbon strategies for all types of territories, in particular for urban areas, including the promotion of sustainable multimodal urban mobility and mitigation-relevant adaptation measures (CF)</t>
  </si>
  <si>
    <t>Videi draudzīgs sabiedriskais transports</t>
  </si>
  <si>
    <t>To develop the infrastructure of environmentally friendly public transport</t>
  </si>
  <si>
    <t>Environmentally friendly public transport</t>
  </si>
  <si>
    <t>Atbalsts paredzēts Rīgas, Liepājas un Daugavpils tramvaju maršrutu tīklu –  attīstībai (esošo līniju atjaunošana, pagarināšana, jaunu līniju izbūve un saistītā ritošā sastāva iegāde).</t>
  </si>
  <si>
    <t>Attīstīt videi draudzīgu sabiedriskā transporta infrastruktūru (autobusi)</t>
  </si>
  <si>
    <t>Atbalsts paredzēts jaunu videi draudzīgu sabiedriskā transporta autobusu iegāde, esošo sabiedriskā transporta autobusu aprīkošana to darbībai ar atjaunojamajiem energoresursiem.</t>
  </si>
  <si>
    <t>Videi draudzīgi autobusi</t>
  </si>
  <si>
    <t>To develop the infrastructure of environmentally friendly public transport (buses)</t>
  </si>
  <si>
    <t>Environmentally friendly buses</t>
  </si>
  <si>
    <t>Vide un teritoriālā attīstība</t>
  </si>
  <si>
    <t>Protection of environment and effective use of resources </t>
  </si>
  <si>
    <t>Environment &amp; territorial development</t>
  </si>
  <si>
    <t xml:space="preserve">Pielāgošanās klimata pārmaiņām </t>
  </si>
  <si>
    <t>Promotion of climate change adaptation, risk prevention and management including the use of ecosystem – based approaches</t>
  </si>
  <si>
    <t>Adaptation to climate changes</t>
  </si>
  <si>
    <t>Plūdu risku samazināšana blīvi apdzīvotās teritorijās</t>
  </si>
  <si>
    <t>To prevent the threat of flood and coastal erosion risks in urban areas</t>
  </si>
  <si>
    <t>Flood risk prevention in populated areas</t>
  </si>
  <si>
    <t>Atbalsts plānots plūdu draudu novēršanai lauku teritorijās</t>
  </si>
  <si>
    <t>Plūdu risku samazināšana lauku teritorijās</t>
  </si>
  <si>
    <t>Flood risk reduction in rural areas</t>
  </si>
  <si>
    <t>Flood risk management in rural areas</t>
  </si>
  <si>
    <t xml:space="preserve">Investīcijas atkritumu nozarē, lai ievērotu Savienības acquis noteiktās prasības vides jomā </t>
  </si>
  <si>
    <t>To invest in waste management area in order to adhere to EU acquis requirements in the environmental area and to support identified needs of member states for investments exceeding the said requirements; preservation and protection of environment and promotion of effective use of resources</t>
  </si>
  <si>
    <t>Investments in waste management area in order to adhere to EU acquis requirements in the environmental area</t>
  </si>
  <si>
    <t>Atkritumu atkārtota izmantošana, pārstrāde un reģenerācija</t>
  </si>
  <si>
    <t>To increase re-using, recycling and regeneration of various sorts of waste</t>
  </si>
  <si>
    <t xml:space="preserve">Waste re-using, recycling and regeneration </t>
  </si>
  <si>
    <t>Atkritumu dalītas savākšanas sistēmas attīstība, tai skaitā, atkritumu dalītas vākšanas punktu un laukumu izveide un aprīkošana, kā arī sabiedrības informēšanas pasākumi.</t>
  </si>
  <si>
    <t>Atkritumu dalītā vākšana</t>
  </si>
  <si>
    <t>Development of a separate waste collection system</t>
  </si>
  <si>
    <t>Separate waste collection</t>
  </si>
  <si>
    <t>Bioloģiski noārdāmo atkritumu kompostēšanu un anaerobā pārstrāde (t.sk., sagatavošanu pārstrādei, ja nepieciešams pilna cikla darbības nodrošināšanai);
Citu atkritumu veidu pārstrādes jaudu palielināšana (t.sk. sagatavošanu pārstrādei, ja nepieciešams pilna cikla darbības nodrošināšanai );</t>
  </si>
  <si>
    <t xml:space="preserve">Atkritumu pārstrāde </t>
  </si>
  <si>
    <t>Promotion of waste recycling</t>
  </si>
  <si>
    <t>Waste recycling</t>
  </si>
  <si>
    <t>Atkritumu reģenerācijas jaudu palielināšana (t.sk., sagatavošanu reģenerācijai, ja nepieciešams pilna cikla darbības nodrošināšanai)</t>
  </si>
  <si>
    <t>Atkritumu reģenerācija</t>
  </si>
  <si>
    <t>Promotion of waste regeneration</t>
  </si>
  <si>
    <t xml:space="preserve">Waste regeneration </t>
  </si>
  <si>
    <t>Investēt ūdenssaimniecības nozarē, lai ievērotu Savienības acquis noteiktās prasības vides jomā</t>
  </si>
  <si>
    <t>To invest in the water supply and sewerage systems sector in order to adhere to EU acquis requirements in the environmental area and to support identified needs of member states for investments exceeding the said requirements.</t>
  </si>
  <si>
    <t>To invest in the water management system in order to adhere to EU acquis requirements</t>
  </si>
  <si>
    <t>Atbalstāma normatīvajos aktos noteiktajiem ūdenssaimniecības pakalpojumu kvalitātes rādītājiem atbilstošu sabiedrisko ūdenssaimniecības pakalpojumu pieejamības un izmantošanas nodrošināšana</t>
  </si>
  <si>
    <t>Ūdenssaimniecība</t>
  </si>
  <si>
    <t>To develop and improve the quality of water supply and sewerage systems services and to ensure connection options</t>
  </si>
  <si>
    <t>Water management</t>
  </si>
  <si>
    <t>Aizsargāt un atjaunot bioloģisko daudzveidību un augsni un veicināt ekosistēmu pakalpojumus, tostarp ar Natura 2000 un zaļo infrastruktūru.</t>
  </si>
  <si>
    <t>Bioloģiskās daudzveidības atjaunošana un aizsargāšana</t>
  </si>
  <si>
    <t>To protect and restore biodiversity and soil, and to promote ecosystem services, including by using "Natura 2000" network and green infrastructure.</t>
  </si>
  <si>
    <t>Biodiversity protection and restoration</t>
  </si>
  <si>
    <t>Bioloģiskā daudzveidība</t>
  </si>
  <si>
    <t>To preserve and restore biodiversity and to protect ecosystems.</t>
  </si>
  <si>
    <t>Biodiversity</t>
  </si>
  <si>
    <t>Infrastruktūras rekonstrukcija un izbūve, saskaņā ar  Natura 2000 teritoriju Īpaši aizsargājamo dabas teritoriju dabas aizsardzības plāniem.</t>
  </si>
  <si>
    <t>Infrastruktūra Natura 2000 teritorijās</t>
  </si>
  <si>
    <t xml:space="preserve">Anthropogenic load -reducing infrastructure construction and reconstruction in Natura 2000 territories </t>
  </si>
  <si>
    <t>Infrastructure in Natura 2000 sites</t>
  </si>
  <si>
    <t>Vides monitorings un vides risku novēršana</t>
  </si>
  <si>
    <t>To ensure the development of environmental monitoring control system and timely prevention of environmental risks, as well as participation of the society in environmental management.</t>
  </si>
  <si>
    <t>Environmental monitoring control system and prevention of environmental risks</t>
  </si>
  <si>
    <t>Īpaši aizsargājamo biotopu un sugu atjaunošanas pasākumi saskaņā ar Īpaši aizsargājamo dabas teritoriju dabas aizsardzības plāniem, īpaši aizsargājamo sugu un biotopu aizsardzības plāniem.</t>
  </si>
  <si>
    <t>Biotopu un sugu kartēšana</t>
  </si>
  <si>
    <t>Biodiversity conservation and ecosystem protection preconditions </t>
  </si>
  <si>
    <t>Mapping of habitats and species</t>
  </si>
  <si>
    <t>Tiešās pārvaldes iestādes, valsts kapitālsabiedrības un atvasinātas publiskas personas, kas veic vides monitoringu un kontroli, vides informācijas apkopošanu, apstrādi un uzkrāšanu, kā arī sabiedrības informēšanas pasākumus vides investīciju jomā.</t>
  </si>
  <si>
    <t>Vides monitorings</t>
  </si>
  <si>
    <t>Environmental monitoring and control system development and public participation in environmental management promotion</t>
  </si>
  <si>
    <t>Environmental monitoring</t>
  </si>
  <si>
    <t>Dabas un kultūras mantojums</t>
  </si>
  <si>
    <t>Preserve, protect, promote and develop natural and culture heritage</t>
  </si>
  <si>
    <t>Natural and cultural heritage</t>
  </si>
  <si>
    <t>Uz pašvaldību attīstības programmām balstīta, nozīmīgu kultūras un dabas mantojuma objektu un saistītās infrastruktūras atjaunošana, pārbūve un restaurācija, jaunas infrastruktūras būvniecība ar mērķi pilnveidot kultūras un dabas mantojuma objektā nodrošinātos pakalpojumus, kā arī jaunu pakalpojumu izveide, dabas un kultūras mantojuma objektu sasniedzamības uzlabošana un kultūras mantojuma izpēte</t>
  </si>
  <si>
    <t>Kultūras un dabas mantojums</t>
  </si>
  <si>
    <t>To preserve, protect and develop important cultural and natural heritage, as well as to develop related services</t>
  </si>
  <si>
    <t>Pilsētvides uzlabošana</t>
  </si>
  <si>
    <t>Take action to improve the urban environment, to revitalise cities, regenerate and decontaminate brownfield sites (including conversion areas), reduce air pollution and promote noise-reduction measures.</t>
  </si>
  <si>
    <t>Urban revitalization</t>
  </si>
  <si>
    <t xml:space="preserve">SAM: veicināt Rīgas pilsētas revitalizāciju, nodrošinot teritorijas efektīvu sociālekonomisko izmantošanu </t>
  </si>
  <si>
    <t>Atbalsts degradēto teritoriju revitalizēšanai, veikt maza mēroga sabiedrisku, kultūras, sporta un inženierinfrastruktūras objektu izveidi un pārbūvi, kas nodrošina kvalitatīvu un daudzveidīgu pakalpojumu piedāvājumu</t>
  </si>
  <si>
    <t>Rīgas revitalizācija</t>
  </si>
  <si>
    <t>Promotion of revitalisation of urban areas in Riga, ensuring efficient socioeconomic use of the area</t>
  </si>
  <si>
    <t>Revitalization of Riga</t>
  </si>
  <si>
    <t>Atbalsts degradētās teritorijas potenciāla attīstīšanai nepieciešamo industriālo pieslēgumu ierīkošanai un to saistītās jaudas palielināšanai, ceļu satiksmei paredzētās infrastruktūras attīstīšanai, komercdarbības mērķiem paredzēto ēku un to infrastruktūras attīstīšanai degradētajā teritorijā, revitalizācijai vai attīstīšanai paredzētās degradētās teritorijas labiekārtošanai</t>
  </si>
  <si>
    <t>Degradēto teritoriju atjaunošana</t>
  </si>
  <si>
    <t>Revitalisation of territories through regeneration of degraded territories according to municipal integrated development programmes</t>
  </si>
  <si>
    <t>Revitalisation of degraded territories</t>
  </si>
  <si>
    <t>Piesārņoto teritoriju sanācija, likvidējot piesārņojuma avotus, atsūknējot un attīrot piesārņotos pazemes ūdeņus, rekultivējot piesārņotās teritorijas, kā arī utilizējot vai apglabājot sanācijas procesā izņemto piesārņojumu</t>
  </si>
  <si>
    <t>Piesārņoto vietu sanācija</t>
  </si>
  <si>
    <t xml:space="preserve">Remediation of historically contaminated sites </t>
  </si>
  <si>
    <t>Remediation</t>
  </si>
  <si>
    <t>Transports</t>
  </si>
  <si>
    <t>Sustainable transport system </t>
  </si>
  <si>
    <t>Transport</t>
  </si>
  <si>
    <r>
      <rPr>
        <sz val="14"/>
        <rFont val="Times New Roman"/>
        <family val="1"/>
        <charset val="186"/>
      </rPr>
      <t>Investīcijas</t>
    </r>
    <r>
      <rPr>
        <sz val="14"/>
        <color theme="1"/>
        <rFont val="Times New Roman"/>
        <family val="1"/>
        <charset val="186"/>
      </rPr>
      <t xml:space="preserve"> TEN-T tīklā</t>
    </r>
  </si>
  <si>
    <t>supporting a multimodal Single European Transport Area by investing in TEN-T (CF)</t>
  </si>
  <si>
    <t>Investments in TEN-T network</t>
  </si>
  <si>
    <t>Molu un viļņlaužu, krasta nostiprinājumu un piestātņu,pārbūve un atjaunošana, lielo ostu infrastruktūras kompleksam piederošo inženiertīklu būvniecība, autotransporta un dzelzceļa pievadceļu  pārbūve, ar ugunsdzēsības un vides aizsardzības prasību ievērošanu, kā arī ar citu drošības prasību ievērošanu saistītās darbības.</t>
  </si>
  <si>
    <r>
      <t>Lielo ostu</t>
    </r>
    <r>
      <rPr>
        <sz val="14"/>
        <rFont val="Times New Roman"/>
        <family val="1"/>
        <charset val="186"/>
      </rPr>
      <t xml:space="preserve"> attīstība</t>
    </r>
  </si>
  <si>
    <t>Development of large ports</t>
  </si>
  <si>
    <t>Vides un drošības pasākumu uzlabošana starptautiskajā lidostā “Rīga” – manevrēšanas ceļu tīkla uzlabošana un aprīkošana ar ass gaismām, lietus ūdens kanalizācijas sistēmas pārbūve, kā arī energoefektīvākas tehnikas, iekārtu un aprīkojuma iegāde un apgaismojuma infrastruktūras modernizācija.</t>
  </si>
  <si>
    <t>Lidostas "Rīga" attīstība</t>
  </si>
  <si>
    <t>To promote security and compliance with environmental requirements at Riga International Airport</t>
  </si>
  <si>
    <t>Development of Riga Airport</t>
  </si>
  <si>
    <t>Rīgas maģistrālo ielu pārbūve</t>
  </si>
  <si>
    <t>Reconstruction of Riga main streets</t>
  </si>
  <si>
    <t>Rīgas pilsētas transporta infrastruktūras pārbūve un atjaunošana, nodrošinot integrētas transporta sistēmas veidošanu, uzlabojot transporta infrastruktūras tehniskos parametrus un satiksmes drošību un pilsētas centrālās daļas atbrīvošanu no tranzīta satiksmes, kā arī mazinot maģistrālo ielu fragmentāro raksturu.</t>
  </si>
  <si>
    <t>Rīgas tiltu un pārvadu pārbūve</t>
  </si>
  <si>
    <t>Development of integrated transport system in Riga city</t>
  </si>
  <si>
    <t>Sabiedriskā transporta pārsēšanās centra izbūve Daugavas kreisajā krastā.</t>
  </si>
  <si>
    <t>Torņkalna multimodālais transporta mezgls</t>
  </si>
  <si>
    <t>Construction of multimodal transport hub in Tornkalns neighbourhood </t>
  </si>
  <si>
    <t>Multimodal transport hub in Tornkalns</t>
  </si>
  <si>
    <t>To connect infrastructure of major cities with the TEN-T network</t>
  </si>
  <si>
    <t>Jaunu maģistrālo ielu, esošo maršrutu attīstība, kas nodrošina atsevišķu Rīgas pilsētas daļu efektīvu savstarpējo sasaisti un sasaisti ar TEN-T tīklu (alternatīvu kravas ceļu izbūve, pārbūve vai modernizācija)</t>
  </si>
  <si>
    <t>Rīgas pilsētas integrēšana TEN-T tīklā</t>
  </si>
  <si>
    <t>Integration of Riga Port and Riga City in TEN-T network</t>
  </si>
  <si>
    <t>Integration of Riga City in TEN-T network</t>
  </si>
  <si>
    <t>Jaunu maģistrālo ielu, esošo maršrutu attīstība, kas nodrošina atsevišķu pilsētu daļu efektīvu savstarpējo sasaisti un sasaisti ar Eiropas komunikāciju tīklu elementiem (alternatīvu kravas ceļu izbūve, pārbūve vai modernizācija).</t>
  </si>
  <si>
    <t>Lielo pilsētu integrēšana TEN-T tīklā</t>
  </si>
  <si>
    <t>Integration of National Development Centres in the TEN-T network </t>
  </si>
  <si>
    <t>Integration of large cities in TEN-T network</t>
  </si>
  <si>
    <t>Valsts galveno autoceļu TEN-T tīklā pārbūve, virsmas nestspējas stiprināšana, vienlaikus īstenojot ceļu satiksmes drošības uzlabošanu.</t>
  </si>
  <si>
    <t>Galveno autoceļu pārbūve</t>
  </si>
  <si>
    <t>To reconstruct the pavement of state main roads, increasing bearing capacity</t>
  </si>
  <si>
    <t>Reconstruction of state main roads</t>
  </si>
  <si>
    <t>Investīcijas dzelzceļa tīklā</t>
  </si>
  <si>
    <t>Developing and restoration of comprehensive, quality and interoperable railway systems, and promoting noise reduction measures (CF)</t>
  </si>
  <si>
    <t>Investments in railway network</t>
  </si>
  <si>
    <t>Latvijas dzelzceļa tīkla attīstība</t>
  </si>
  <si>
    <t xml:space="preserve"> To ensure a competitive and environmentally friendly TEN-T railway network promoting its safety, quality and capacity</t>
  </si>
  <si>
    <t>Development of Latvian railway network</t>
  </si>
  <si>
    <t xml:space="preserve"> Pasākuma ietvaros tiks īstenots lielais projekts “Latvijas dzelzceļa tīkla elektrifikācija”.</t>
  </si>
  <si>
    <t>Dzelzceļa elektrifikācija</t>
  </si>
  <si>
    <t>Electrification of Latvian railway network  </t>
  </si>
  <si>
    <t>Railway electrification</t>
  </si>
  <si>
    <t>TEN-T pamattīklā esošās dzelzceļa infrastruktūras modernizācija un jaunas izveide, tai skaitā nozīmīgāko dzelzceļa mezglu pārbūve, satiksmes pārvaldības sistēmu ieviešana, dzelzceļa pasažieru infrastruktūras modernizācija un signalizācijas sistēmas modernizācija.</t>
  </si>
  <si>
    <t>Dzelzceļa infrastruktūra</t>
  </si>
  <si>
    <t>Modernization and construction of railway infrastructure  </t>
  </si>
  <si>
    <t xml:space="preserve"> Railway infrastructure  </t>
  </si>
  <si>
    <t>Transporta infrastruktūrā reģionālās mobilitātes uzlabošanai</t>
  </si>
  <si>
    <t>Enhancing regional mobility by connecting secondary and tertiary nodes to TEN-T infrastructure, including multimodal nodes (ERDF)</t>
  </si>
  <si>
    <t>Transport infrastructure enhancing regional mobility</t>
  </si>
  <si>
    <t>Valsts reģionālo autoceļu, kas savieno starptautiskas, nacionālas un reģionālas nozīmes attīstības centrus ar TEN-T autoceļu tīklu, pārbūve</t>
  </si>
  <si>
    <t>Reģionālo autoceļu pārbūve</t>
  </si>
  <si>
    <t>To increase regional mobility through improvement of the quality of state regional roads</t>
  </si>
  <si>
    <t>Reconstruction of regional roads</t>
  </si>
  <si>
    <t>Nodarbinātība</t>
  </si>
  <si>
    <t>Employment and labour mobility </t>
  </si>
  <si>
    <t>Employment</t>
  </si>
  <si>
    <t>Nodarbinātības pieejamība bezdarbniekiem un darbaspēka mobilitāte</t>
  </si>
  <si>
    <t>Access to employment for job-seekers and labour mobility</t>
  </si>
  <si>
    <t>Bezdarbnieku profesionālā apmācība, pārkvalifikācija, kvalifikācijas paaugstināšana, apmācība pie darba devēja; neformālās izglītības programmu apguve; atbalsts bezdarbnieku reģionālajai mobilitātei u.c.</t>
  </si>
  <si>
    <t>Atbalsts bezdarbnieku izglītībai</t>
  </si>
  <si>
    <t>Training of the unemployed</t>
  </si>
  <si>
    <t xml:space="preserve">Darba tirgus prognozēšanas sistēma </t>
  </si>
  <si>
    <t>Informācijas nodrošināšana Eiropas Nodarbinātības dienestu tīkla (EURES) ietvaros darba ņēmējiem, darba meklētājiem un bezdarbniekiem, kā arī darba devējiem, valsts un pašvaldību iestāžu, nevalstiskā sektora pārstāvjiem par Eiropas darba mobilitātes jautājumiem.</t>
  </si>
  <si>
    <t>EURES tīkla darbība Latvijā</t>
  </si>
  <si>
    <t>Operation of EURES network in Latvia</t>
  </si>
  <si>
    <t>EURES network in Latvia</t>
  </si>
  <si>
    <t xml:space="preserve">Darba tirgus apsteidzošo pārkārtojumu sistēmas organizatoriskā ietvara un sadarbības modeļa apzināšana un izveide, Web bāzētas IT platformas izveidei nepieciešamās tehniskās specifikācijas izveide. </t>
  </si>
  <si>
    <t xml:space="preserve">Darba tirgus prognozēšanas sistēmas pilnveide </t>
  </si>
  <si>
    <t>Anticipating labour market needs</t>
  </si>
  <si>
    <t>Jauniešu ilgtspējīga integrācija darba tirgū, īpašu uzmanību pievēršot
nodarbinātībā, izglītībā vai apmācībā neiesaistītiem jauniešiem, tostarp
jauniešiem, kuriem ir sociālās atstumtības risks, un jauniešiem no sociāli
atstumtām kopienām, tostarp ar garantijas jauniešiem shēmas īstenošanu</t>
  </si>
  <si>
    <t>Jauniešu integrācija darba tirgū</t>
  </si>
  <si>
    <t>Sustainable integration into the labour market of young people, in particular those not in employment, education or training, including young people at risk of social exclusion and young people from marginalised communities, including through the implementation of the Youth Guarantee</t>
  </si>
  <si>
    <t>Integration of young people into the labour market</t>
  </si>
  <si>
    <t>Jauniešu garantijas</t>
  </si>
  <si>
    <t>Youth Guarantee</t>
  </si>
  <si>
    <t>Darba meklēšanas atbalsta pasākumi, konkurētspējas paaugstināšanas pasākumi un karjeras konsultācijas; neformālās izglītības programmu īstenošana, tai skaitā mainīgajām darba tirgus prasībām atbilstošu sistematizētu sociālo un profesionālo pamatprasmju apguve, noslēguma pārbaudījumu organizēšana (tai skaitā valsts valodas prasmes pārbaudes un transportlīdzekļu un traktortehnikas vadītāja kvalifikācijas iegūšanas eksāmeni); profesionālās tālākizglītības un profesionālās pilnveides izglītības programmu īstenošana; pirmās darba pieredzes jaunietim ieguve; darbam nepieciešamo iemaņu attīstība nevalstiskajā sektorā; darbnīcas jauniešiem, kas dod iespēju jauniešiem vienā vai vairākās izglītības iestādēs iepazīt kopskaitā trīs profesionālās izglītības programmas; subsidētās darba vietas jauniešiem bezdarbniekiem; atbalsts pašnodarbinātības vai uzņēmējdarbības uzsākšanai, tai skaitā konsultatīvie un finanšu atbalsta pasākumi pašnodarbinātības vai komercdarbības uzsākšanai; atbalsts jauniešu reģionālajai mobilitātei; jauniešu informēšana un piesaiste.</t>
  </si>
  <si>
    <t>Jauniešu garantijas (aktīvās nodarbinātības pasākumi)</t>
  </si>
  <si>
    <t>Youth Guarantee (Active Employment Measures)</t>
  </si>
  <si>
    <t>Sākotnējās profesionālās izglītības programmu otrā un trešā profesionālās kvalifikācijas līmeņa ieguve viena vai pusotra mācību gada laikā, tai skaitā programmu pielāgošana atbilstoši mērķa grupas vajadzībām, un mērķstipendijas piešķiršana, izglītības programmu īstenošana  vispārējo pamatprasmju apguvei, tai skaitā programmu pielāgošana atbilstoši mērķa grupas vajadzībām, profesionālajai tālākizglītībai un profesionālajai pilnveidei, karjeras atbalsta pasākumi, jauniešu informēšana un piesaiste.</t>
  </si>
  <si>
    <t>Jauniešu garantijas (profesionālās izglītības pasākumi)</t>
  </si>
  <si>
    <t xml:space="preserve"> Implementation of initial vocational education programmes within the Youth Guarantee.</t>
  </si>
  <si>
    <t>Youth Guarantee (Vocational Education Measures)</t>
  </si>
  <si>
    <t xml:space="preserve">Implementation of initial vocational education programmes within the Youth Guarantee </t>
  </si>
  <si>
    <t>Jauniešu garantijas (aktīvās nodarbinātības pasākumi) pēc 2018.gada</t>
  </si>
  <si>
    <t>Nodarbināto, uzņēmumu pielāgošanās pārmaiņām</t>
  </si>
  <si>
    <t>Adaptation of workers, enterprises and entrepreneurs to change</t>
  </si>
  <si>
    <t>Adaptation of employees and companies to changes</t>
  </si>
  <si>
    <t>Darba attiecību un darba aizsardzības tiesiskā regulējuma pilnveides un  praktiskās ieviešanas uzraudzības pasākumi, Valsts darba inspekcijas profesionālo spēju pilnveide, atbalsts bīstamo nozaru uzņēmumiem darba drošības jomā, preventīvie un informatīvi izglītojošie pasākumi.</t>
  </si>
  <si>
    <t>Darba drošības uzlabošana</t>
  </si>
  <si>
    <t>To improve labour safety, especially in enterprises of hazardous industries</t>
  </si>
  <si>
    <t>Improving labour safety</t>
  </si>
  <si>
    <t>Gados vecāku nodarbināto spēju, prasmju un veselības stāvokļa novērtēšana, cilvēkresursu attīstības plānošana, informatīvi konsultatīvs atbalsts darba devējiem, lai sekmētu gados vecāku cilvēku ilgāku palikšanu darba tirgū (veselīgas novecošanās, drošu darba metožu, elastīgu darba formu, personāla politikas un karjeras plānošanas u.c. jautājumos), prasmju pilnveidošanas pasākumi, darba vides novērtēšana un darba vietas pielāgošana, starppaaudžu pieredzes nodošanas pasākumi (mentorings).</t>
  </si>
  <si>
    <t>Gados vecāku nodarbināto darbspēju uzlabošana</t>
  </si>
  <si>
    <t>To prolong preservation of capacity for labour and employment of elderly employees</t>
  </si>
  <si>
    <t xml:space="preserve">Prolongation of labour capacity of  elderly employees in labour market </t>
  </si>
  <si>
    <t>Izglītība</t>
  </si>
  <si>
    <t>Education, skills and lifelong learning </t>
  </si>
  <si>
    <t>Education</t>
  </si>
  <si>
    <t>Izglītības infrastruktūra</t>
  </si>
  <si>
    <t>To improve education, training and vocational training for skills and
lifelong learning by developing education and training infrastructure</t>
  </si>
  <si>
    <t>Education infrastructure</t>
  </si>
  <si>
    <t>Atbalsts teritoriāli koncentrētas studiju un zinātniskā darba infrastruktūras attīstībai augstākās izglītības institūciju stratēģiskās specializācijas stiprināšanai, t.sk. ēku vai telpu pārbūvei vai atjaunošanai, ja nepieciešams, jaunas ēkas būvniecībai, iekārtu un aprīkojuma iegādei, nepieciešamo ēku un telpu pielāgošanai aprīkojuma un aparatūras uzstādīšanai un darbībai, kā arī atbalsts Informācijas un komunikācijas tehnoloģiju risinājumiem, t.sk. tālmācības rīku, programmatūras, bibliotēku resursu iegādei, STEM (matemātikas, dabaszinību un tehnikas zinātnes),  t.sk. medicīnas un radošās industrijas, studiju virzienos.</t>
  </si>
  <si>
    <t>Augstskolu STEM infrastruktūra</t>
  </si>
  <si>
    <t>Increase number of modernized study programs of STEM, including medicine and creative industries</t>
  </si>
  <si>
    <t>STEM infrastructure of Higher Education</t>
  </si>
  <si>
    <t>Specifiskā atbalsta ietvaros ir atbalstāmas šādas darbības: ergonomiskas mācību vides izveide; informācijas un komunikāciju tehnoloģiju risinājumu ieviešana un aprīkojuma iegāde; dabaszinātņu kabinetu aprīkošana vai jaunu kabinetu izveidošana 7. – 9.klašu grupai; izglītības iestādes sporta infrastruktūras būvniecība (valsts ģimnāzijām, ģimnāzijām, vidusskolām, pamatskolām); izglītības iestādes dienesta viesnīcas būvniecība (valsts ģimnāzijām, ģimnāzijām, vidusskolām); reģionālā metodiskā centra izveide vai attīstība (valsts ģimnāzijām);</t>
  </si>
  <si>
    <t>Vispārējās izglītības infrastruktūra</t>
  </si>
  <si>
    <t>To improve study environment of general education institutions</t>
  </si>
  <si>
    <t>General education infrastructure</t>
  </si>
  <si>
    <t>Atbalsts plānots profesionālās izglītības iestāžu, it īpaši profesionālās izglītības kompetences centru, infrastruktūras, mācību kabinetu, profesionālās izglītības iestādes koplietošanas telpu, t.sk., sporta (ieguldījumus sporta infrastruktūrā plānots atbalstīt tādā apjomā, lai nodrošinātu PIKC īstenoto mācību programmu ietvaros noteiktā obligātā mācību priekšmeta “Sports” infrastruktūras, inventāra un aprīkojuma atbilstību kvalitatīva mācību procesa nodrošināšanai) un dienesta viesnīcu infrastruktūras izveidei un sakārtošanai, teritorijas labiekārtošanai un ar atbilstošajām Nozaru ekspertu padomēm/  Kultūrizglītības padomi saskaņota mācību līdzekļu un tehniskā aprīkojuma iegādei.</t>
  </si>
  <si>
    <t>Profesionālās izglītības infrastruktūra</t>
  </si>
  <si>
    <t>To increase number of fully modernised vocational education institutions</t>
  </si>
  <si>
    <t>Vocational education infrastructure</t>
  </si>
  <si>
    <t>Atbalsts plānots koledžu, kas īsteno STEM (matemātikas, dabaszinību un tehnikas zinātnes), t.sk. medicīnas un radošas industrijas, pirmā līmeņa profesionālās augstākās izglītības studiju programmas un profesionālās vidējās izglītības programmas, infrastruktūras attīstībai un aprīkojuma modernizācijai,  iekārtu un aprīkojuma iegādei, t.sk specifisku laboratoriju pilnveidei un modernizācijai, nepieciešamo ēku un telpu pielāgošanai aprīkojuma un aparatūras uzstādīšanai un darbībai, informācijas un komunikācijas tehnoloģiju risinājumu un aprīkojuma iegādei.</t>
  </si>
  <si>
    <t>Koledžu STEM infrastruktūrā</t>
  </si>
  <si>
    <t>To improve the learning environment of the first level professional higher education STEM, incl. medicine and creative industry programs</t>
  </si>
  <si>
    <t>First level higher education STEM infrastructure</t>
  </si>
  <si>
    <t>Augstākā izglītība</t>
  </si>
  <si>
    <t>Improving the quality and efficiency of and access to tertiary and equivalent education with a view to increasing participation and attainment levels, especially for disadvantaged groups</t>
  </si>
  <si>
    <t>Tertiary education</t>
  </si>
  <si>
    <t>Kopīgo doktorantūras studiju programmu un studiju programmu ES valodās izstrāde, aprobācija un akreditācija, tai skaitā akreditācijas izmaksu segšana starptautiskās profesionālās organizācijās; izstrādāto un akreditēto studiju programmu starptautiskā publicitāte.</t>
  </si>
  <si>
    <t>Studiju programmu fragmentācijas samazināšana</t>
  </si>
  <si>
    <t>Reduce fragmentation of study programs and strengthen resource sharing</t>
  </si>
  <si>
    <t>Reduce fragmentation of study programs</t>
  </si>
  <si>
    <t xml:space="preserve">Atbalsts ārvalsts pasniedzēju piesaistei darbam augstākās izglītības institūcijā Latvijā, t.sk. latviešu valodas apguvei; atbalsts akadēmiskā personāla kompetenču un prasmju pilnveidei, t.sk. ES valodu apguvei un stažēšanās uzņēmumos; jauno pasniedzēju piesaiste, atbalstot doktorantu akadēmisko darbu augstākās izglītības institūcijā. </t>
  </si>
  <si>
    <t>Akadēmiskā personāla stratēģiskās specializācijas stiprināšana</t>
  </si>
  <si>
    <t>To strengthen academic personnel of HEI in strategic specialisation areas</t>
  </si>
  <si>
    <t>To strengthen academic personnel in strategic specialisation</t>
  </si>
  <si>
    <t>Augstākās izglītības institūciju attīstības stratēģiju ieviešana: atbalsts attīstības stratēģiju izstrādei, pilnveidei un to ārējam novērtējumam; atbalsts studiju virzienu padomju darbam, tostarp veicot studiju programmu satura pārstrukturizāciju un aktualizāciju, studiju programmu konsolidāciju; atbalsts augstākās izglītības institūcijas iekšējās kvalitātes nodrošināšanas sistēmas efektivitātes paaugstināšanai atbilstoši standartiem un vadlīnijām kvalitātes nodrošināšanai Eiropas augstākās izglītības telpā, tostarp personāla atalgojuma un promocijas sistēmas ārējam novērtējumam un sistēmas pilnveidei; atbalsts e-risinājumu, t.sk. e-koplietošanas mehānismu un starpinstitūciju sadarbības risinājumu, attīstībai.</t>
  </si>
  <si>
    <t>Efektīvas pārvaldības nodrošināšana augstskolās</t>
  </si>
  <si>
    <t>To ensure better governance in HEI</t>
  </si>
  <si>
    <t>Better governance in HEI</t>
  </si>
  <si>
    <t>Akreditācijas aģentūras darbības kvalitātes paaugstināšana un kapacitātes stiprināšana, lai nodrošinātu tās atbilstību „Standartiem un vadlīnijām kvalitātes nodrošināšanai Eiropas augstākās izglītības telpā” (turpmāk -ESG) , t.sk. akreditācijas aģentūras kvalitātes vadības sistēmas pilnveide un aprobācija, tai skaitā pilotakreditāciju īstenošana;
Akreditācijas aģentūras dalība ESG/ENQA (ENQA - European Standards of Guidelines for Quality Assurance jeb "Standarti un vadlīnijas kvalitātes nodrošināšanai Eiropas augstākās izglītības telpā”) un citās starptautiskajās organizācijās un tīklos, kā arī to organizētajos pasākumos augstākās izglītības kvalitātes nodrošināšanas jautājumos;
Akreditācijas aģentūras ārējās ekspertīzes (atbilstības pārbaude ESG) nodrošināšana;
Personāla un ekspertu apmācība un attīstība, t.sk. ārvalstu, kā arī pieredzes apmaiņas pasākumu īstenošana ar citu valstu akreditācijas aģentūrām, kas reģistrētas Eiropas Augstākās izglītības kvalitātes nodrošināšanas reģistrā (EQAR);
Akreditācijas aģentūras materiāltehniskās bāzes un informatīvā nodrošinājuma stiprināšana, tajā skaitā e-platformas izveide, esošo informācijas sistēmu integrēšana un savienošana;
Priekšlikumu izstrāde e-platformas attīstībai;
Atbalsta un informatīvie pasākumi augstākajām izglītības institūcijām un akreditācijas sistēmā iesaistītajiem partneriem;
Augstākās izglītības kvalitātes monitoringa sistēmas attīstība. 
Projekta vadības un īstenošanas nodrošināšana;
Informācijas un publicitātes pasākumi par projekta īstenošanu.</t>
  </si>
  <si>
    <t>Atbalsts EQAR aģentūrai</t>
  </si>
  <si>
    <t>To provide support for implementation of requirements of EQAR agency</t>
  </si>
  <si>
    <t>To provide support of requirements of EQAR</t>
  </si>
  <si>
    <t>Priekšlaicīgu mācību pārtraukšanas mazināšana un novēršana</t>
  </si>
  <si>
    <t>"Reducing and preventing early school-leaving and promoting equal
access to good quality early-childhood, primary and secondary education, including formal, non-formal and informal learning pathways for reintegrating into education and training"</t>
  </si>
  <si>
    <t>Reducing and preventing early school-leaving</t>
  </si>
  <si>
    <t>Kompetenču pieejas attīšana</t>
  </si>
  <si>
    <t>To develop competency-based general education curriculum</t>
  </si>
  <si>
    <t>Development of competency-based education (content)</t>
  </si>
  <si>
    <t>1. mācību satura aprobācija, pilnveide un ieviešana pirmsskolas izglītības, pamatizglītības un vidējās izglītības pakāpē:
1.1. mācību satura, mācību darba organizācijas modeļu un metodikas izstrāde, ekspertēšana, aprobācija un pilnveide, sagatavošana publicēšanai, tai skaitā e-vidē, un publicēšana, diagnosticējošo darbu un eksāmenu satura projekta izstrāde, ekspertēšana, aprobācija un pilnveide, mācību satura ieviešana;
1.2. diagnostikas instrumentu, mācību un metodisko līdzekļu izstrāde, mācību līdzekļu satura aprobācija, pilnveide, sagatavošana publicēšanai, tai skaitā e-vidē, un publicēšana;
1.3. mācību un metodisko līdzekļu izstrāde izglītojamajiem ar garīgās attīstības traucējumiem, mācību līdzekļu satura aprobācija, pilnveide, sagatavošana publicēšanai, tai skaitā e-vidē, un publicēšana;
1.4. pedagogu profesionālās kompetences pilnveide, tai skaitā Eiropas valodu portfeļa un valodas un satura integrētas apguves īstenošanai, ietverot pedagogu profesionālās kompetences pilnveides programmu izstrādi un īstenošanu;
1.5. informatīvu un izglītojošu semināru, konferenču un pieredzes apmaiņas pasākumu organizēšana un nodrošināšana;
2. projekta vadības un īstenošanas nodrošināšana;
3. informācijas un publicitātes pasākumu īstenošana.</t>
  </si>
  <si>
    <t>Kompetenču pieejas satura aprobācija</t>
  </si>
  <si>
    <t xml:space="preserve">Approbation and implementation of competency-based general education curriculum </t>
  </si>
  <si>
    <t>Development of competency-based education (approbation)</t>
  </si>
  <si>
    <t>Digitālo mācību līdzekļu un metodisko materiālu izstrāde kompetenču pieejā balstītā vispārējās izglītības satura ieviešanai.</t>
  </si>
  <si>
    <t xml:space="preserve">Development of digital education and methodology materials </t>
  </si>
  <si>
    <t>Individuālo kompetenču attīstība vispārējā izglītībā</t>
  </si>
  <si>
    <t>To increase support for general education institutions to develop students’ individual competences</t>
  </si>
  <si>
    <t>Development  of individual competences in general education</t>
  </si>
  <si>
    <t>Atbalsts nacionāla un starptautiska mēroga pasākumu īstenošanai talantīgajiem bērniem - dalības nodrošināšana starptautiskās olimpiādēs, konkursos; nacionāla līmeņa vasaras nometņu, semināru, konkursu, u.c. pasākumu organizēšana, metodikas izstrāde un metodiskais atbalsts pedagogiem darbam ar talantīgiem bērniem.</t>
  </si>
  <si>
    <t>Izglītojamo talantu attīstība</t>
  </si>
  <si>
    <t>Support for implementation of national and international scale activities to develop talents of educates</t>
  </si>
  <si>
    <t>Development of students' talents</t>
  </si>
  <si>
    <t>1.Atbalsts individualizētas mācību pieejas īstenošanai vispārējās izglītības iestādēs: 1. atbalsts izglītojamajiem vispārējās izglītības iestādēs, tai skaitā izglītojamo talantu atklāšanai un izkopšanai, sociālās atstumtības riskam pakļautajiem izglītojamajiem, tai skaitā izglītojamajiem ar speciālajām vajadzībām, un atbilstoša pedagogu profesionālās kompetences pilnveide:
2. papildu apmācību nodrošināšana, t.sk. valsts valodas un citos mācību priekšmetos, kā arī izglītojamo sagatavošanai olimpiādēm un konkursiem;
3. inovatīvu pasākumu ieviešana un nodrošināšana interešu izglītības veicināšanai, tai skaitā dalībai vasaras nometnēs, festivālos, konkursos, sacensībās, radošās darbnīcās, zinātnes centros, semināros, projektos, u.c. pasākumos atbilstoši izglītojamo interesēm, prasmēm un kompetencēm;
4. nepieciešamā pedagoģiskā personāla un atbalsta personāla (psihologu, sociālo pedagogu, asistentu) nodrošināšana, pasākumi izglītojamo mācību grūtību un mācīšanās traucējumu diagnosticēšanā un atbilstošas metodoloģijas nodrošināšanā mācību procesā;
5. pedagogu tālākizglītība skolas vidē, atbalstot jaunos pedagogus pedagoģijas un vadības prasmju apguvē un to izmantošanai praksē, attīstot pedagogu uzņēmējspējas, līderības, radošumu, IKT, bilingvālās izglītības un svešvalodu prasmju uzlabošanu, .sk. prasmju uzlabošanu darbam ar talantīgiem un apdāvinātiem izglītojamajiem, kā arī izglītojamajiem ar speciālām vajadzībām un sociālās atstumtības riskam pakļautajiem izglītojamajiem, kuriem nepieciešama pedagoģiskā korekcija, tādējādi veicinot iekļaujošo izglītību vispārējās izglītības iestādēs, t.sk.  vienaudžu vardarbības mazināšanai skolās, sadarbības un dialoga veicināšanai ar vecākiem, citām institūcijām un sabiedrību izglītības jautājumu risināšanā; sadarbības uzlabošana ar citām pašvaldībām un izglītības iestādēm, t.sk. pieredzes apmaiņai un labās prakses pārņemšanai.</t>
  </si>
  <si>
    <t xml:space="preserve">Individuālo kompetenču attīstība </t>
  </si>
  <si>
    <t>Support for development of educatees' individual competences</t>
  </si>
  <si>
    <t>Development of individual competences</t>
  </si>
  <si>
    <t xml:space="preserve">Increasing skills of NEET youth </t>
  </si>
  <si>
    <t xml:space="preserve">Individuāls atbalsta pasākumu kopums nabadzības riskam pakļautiem priekšlaicīgas mācību pārtraukšanas (PMP) riska izglītojamiem, atbalsts NVO, kas strādā ar PMP riska grupas jauniešiem, atbalsts pašvaldību PMP mazināšanas rīcības plānu sagatavošanai, izvērtēšanai un īstenošanai, atbalsts PMP rādītāju dinamikas uzskaites un analīzes sistēmai, kā arī vadlīniju sagatavošana un pilnveide koordinētai PMP mazināšanai. </t>
  </si>
  <si>
    <t>Priekšlaicīgas mācību pārtraukšanas samazināšana</t>
  </si>
  <si>
    <t>To reduce early school leaving by implementing preventive and intervention measures</t>
  </si>
  <si>
    <t>Reducing of early school leaving</t>
  </si>
  <si>
    <t>1.Atbalsts vispārējās un profesionālās izglītības iestādēm izglītojamo karjeras atbalsta pilnveidei, lai sekmētu karjeras atbalsta pakalpojumu pieejamības, kvalitātes un daudzveidības paaugstināšanu:
1.1.informatīvo un metodisko materiālu komplekta izstrāde karjeras atbalsta  īstenošanai vispārējās un profesionālās izglītības iestādēs.
1.2.vispārējās vai profesionālās izglītības iestādēs strādājošo pedagogu un karjeras atbalsta īstenošanā iesaistīto speciālistu papildizglītība karjeras atbalsta pasākumu īstenošanas jautājumos. 
1.3. nacionālo profesionālās meistarības konkursu organizēšana profesionālās izglītības iestāžu audzēkņiem (tai skaitā profesionālo prasmju demonstrācijas pasākumu organizēšana profesionālās izglītības pievilcības celšanai). 
1.4. konkursantu sagatavošana un dalības nodrošināšana starptautiskajos jauno profesionāļu meistarības konkursos. 
2. Karjeras atbalsta pasākumu (tai skaitā karjeras informācijas, karjeras izglītības un karjeras konsultāciju) īstenošana izglītības iestādēs izglītojamajiem visos Latvijas novados un republikas pilsētās.</t>
  </si>
  <si>
    <t>Karjeras pieejas uzlabošana</t>
  </si>
  <si>
    <t>To improve access to career support for students in general and vocational education institutions</t>
  </si>
  <si>
    <t xml:space="preserve">To improve access to career support </t>
  </si>
  <si>
    <t>Kvalitātes monitoringa sistēmas ieviešana</t>
  </si>
  <si>
    <t>To introduce education quality monitoring system</t>
  </si>
  <si>
    <t>Introduction of quality monitoring system</t>
  </si>
  <si>
    <t>1.Tādu starptautisko pētījumu programmu īstenošana un iegūto datu analīze kā:
-Ekonomiskās sadarbības un attīstības organizācijas Starptautiskās skolēnu novērtēšanas programmas pētījumā;
-Ekonomiskās sadarbības un attīstības organizācijas Starptautiskajā mācību vides pētījumā;
-Ekonomiskās sadarbības un attīstības organizācijas Izglītības sistēmu indikatoru programmā;
-Ekonomiskās sadarbības un attīstības organizācijas Zinātņu doktoru karjeras apsekojumā;
-Starptautiskās izglītības sasniegumu novērtēšanas asociācijas Starptautiskajā lasītprasmes novērtēšanas pētījumā;
kā arī sadarbībā ar Starptautisko Rekonstrukcijas un attīstības banku īstenojot pētījumu par augstākās izglītības pārvaldību.
2. projekta vadība un īstenošanas nodrošināšana;
3. informācijas un publicitātes pasākumu īstenošana.</t>
  </si>
  <si>
    <t xml:space="preserve">1. Nacionālo pētījumu veikšana;
2. Vienotu kritēriju atlases metodoloģijas izstrāde izglītojamo mācību sasniegumu novērtēšanai starptautiskā, nacionālā un individuālā līmenī, t.sk. pētījums par izglītības monitoringa indikatoriem un metodoloģiju; izglītības politikas īstenošanas un ietekmes novērtēšanas pētnieku tīkla, kas spēj nodrošināt politikas veidošanai nepieciešamo jautājumu izpēti, izveide zinātniskajās institūcijās. </t>
  </si>
  <si>
    <t>Izglītības kvalitātes monitoringa sistēma</t>
  </si>
  <si>
    <t>Implementation of education monitoring system</t>
  </si>
  <si>
    <t>Education quality monitoring system</t>
  </si>
  <si>
    <t>Mūžizglītības attīstīšana dažādām vecuma grupām</t>
  </si>
  <si>
    <t>Enhancing equal access to lifelong learning for all age groups in formal, non-formal and informal settings, upgrading the knowledge, skills and competences of the workforce, and promoting flexible learning
pathways including through career guidance and validation of acquired
competences"</t>
  </si>
  <si>
    <t xml:space="preserve">Equal access to life-long learning </t>
  </si>
  <si>
    <t xml:space="preserve"> Atbalsts mācību piedāvājuma un vajadzību atbilstības darba tirgus  vajadzībām izvērtēšanai, atbalsts profesionālās tālākizglītības programmu apguvei profesionālās kvalifikācijas ieguvei, pilnveidei vai pārkvalifikācijai, kā arī profesionālās pilnveides un neformālās izglītības programmu apguvei, atbalsts karjeras konsultanta vai pedagoga – karjeras konsultanta pakalpojumiem, lai savlaicīgi novērstu darbaspēka kvalifikācijas neatbilstību darba tirgus pieprasījumam, veicinātu strādājošo konkurētspēju un darba produktivitātes pieaugumu atbilstoši darba tirgus prasībām, atbalsts ārpus formālās izglītības sistēmas apgūtās profesionālās kompetences novērtēšanai, atbalsts papildu atbalsta pasākumu īstenošanai sociālās atstumtības riskam pakļauto mērķa grupas personu iesaistei profesionālās kompetences pilnveides un neformālās izglītības programmu apguvē</t>
  </si>
  <si>
    <t xml:space="preserve">Mūžizglītība </t>
  </si>
  <si>
    <t>To develop professional competencies of employees</t>
  </si>
  <si>
    <t>Life-long learning</t>
  </si>
  <si>
    <t>Darba tirgus nozīmes palielināšana izglītībā</t>
  </si>
  <si>
    <t>Improving the labour market relevance of education and training
systems, facilitating the transition from education to work, and strengthening vocational education and training (VET) systems and their quality, including through mechanisms for skills anticipation, adaptation of curricula and the establishment and development of work based learning systems, including dual learning systems and apprenticeship schemes"</t>
  </si>
  <si>
    <t>Improving  relevance of labour market in education</t>
  </si>
  <si>
    <t xml:space="preserve">Darba vidē balstītu mācību pie komersanta, biedrībā vai nodibinājumā un pie amata meistara vai uzņēmumā īstenošana profesionālajā izglītībā, kvalifikācijas prasībām atbilstošu praktisko mācību un mācību prakses īstenošana pie komersanta, biedrībā vai nodibinājumā vai sadarbībā ar uzņēmēju profesionālās vidējās un arodizglītības programmu apguvē.
</t>
  </si>
  <si>
    <t>Darba vidē balstītās mācības un mācību prakses</t>
  </si>
  <si>
    <t>To increase number of qualified VET students through participation in
work-based learning and practice in enterprise</t>
  </si>
  <si>
    <t>Work-based learning and practices</t>
  </si>
  <si>
    <t>Nozaru kvalifikāciju sistēmas pilnveide, lai nodrošinātu vienoto Eiropas profesionālās izglītības kvalitātes rādītāju ieviešanu un atzīšanu, profesionālās kvalifikācijas eksāmenu satura un sasniedzamo rezultātu novērtēšanas metodikas izstrāde atbilstoši Latvijas kvalifikācijas ietvarstruktūrai,  Eiropas kredītpunktu sistēmai profesionālās izglītības jomā (ECVET) un Eiropas kvalitātes nodrošināšanas pamatprincipu ietvarstruktūrai profesionālajā izglītībā (EQAVET), modulāro profesionālās izglītības programmu izstrāde un ieviešana, tai skaitā to atbilstības Latvijas kvalifikācijas ietvarstruktūrai un Eiropas kvalitātes nodrošināšanas pamatprincipu ietvarstruktūrai izvērtēšana, mācību līdzekļu, tai skaitā digitālo mācību līdzekļu un metodisko materiālu, kā arī novērtēšanas materiālu un darba vidē balstītas profesionālās izglītības ieviešanai nepieciešamo mācību līdzekļu, izstrāde un  publiskošana, un atbilstības Latvijas kvalifikācijas ietvarstruktūrai izvērtēšana, kā arī simulācijas  iekārtu iegāde.</t>
  </si>
  <si>
    <t>Profesionālās izglītības kvalifikācijas atbilstība Eiropas prasībām</t>
  </si>
  <si>
    <t>To ensure conformity of vocational education to European qualifications
framework</t>
  </si>
  <si>
    <t>Conformity of VET to European qualifications</t>
  </si>
  <si>
    <t>Atbalsts izglītības iestāžu, kas īsteno sākotnējās profesionālās izglītības programmas, attīstības stratēģiju aktualizācijā un ar to saistīto cilvēkresursu attīstības plāna izstrādē, izglītības iestāžu, kas īsteno sākotnējās profesionālās izglītības programmas, direktoru, to vietnieku u.c. administrācijas pārstāvju, un Konventa pārstāvju profesionālās pilnveides pasākumi, profesionālajā izglītībā iesaistīto pedagogu, prakses vadītāju un amata meistaru, darba vidē balstīto mācību vadītāju un administrācijas pārstāvju vispārējo pamatprasmju un profesionālo prasmju pilnveide, tajā skaitā pedagoģiskās kompetences attīstīšana, atbalsta pasākumi mentoringa procesam, atbalsta pasākumi nozaru pārstāvjiem kapacitātes celšanai profesionālās izglītības kvalitātes novērtēšanā un eksaminācijā.</t>
  </si>
  <si>
    <t xml:space="preserve">Profesionālās izglītības pārvaldība </t>
  </si>
  <si>
    <t>To ensure efficient management of VET institutions and improve professional
competencies of the involved personnel</t>
  </si>
  <si>
    <t>Efficiency of VET education</t>
  </si>
  <si>
    <t>Sociālā iekļaušana</t>
  </si>
  <si>
    <t>Social inclusion and combating poverty  </t>
  </si>
  <si>
    <t>Social Inclusion</t>
  </si>
  <si>
    <t>Sociālā iekļaušana nodarbinātības veicināšanai</t>
  </si>
  <si>
    <t>Active inclusion, including with a view to promoting equal opportunities and active participation, and improving employability</t>
  </si>
  <si>
    <t>Active inclusion for employment</t>
  </si>
  <si>
    <t>Nelabvēlīgākā situācijā esošo bezdarbnieku iekļaušana</t>
  </si>
  <si>
    <t>To facilitate inclusion of disadvantaged unemployed people in the labour market</t>
  </si>
  <si>
    <t xml:space="preserve"> Inclusion of disadvantaged unemployed</t>
  </si>
  <si>
    <t>Subsidēto darbavietu nodrošināšana bezdarbniekiem ar invaliditāti, atbalsts reģionālajai mobilitātei u.c.</t>
  </si>
  <si>
    <t>Subsidētās darbavietas bezdarbniekiem</t>
  </si>
  <si>
    <t>Atbalsts bezdarbniekiem, kas bez darba bijuši vismaz 12 mēnešus (t.sk. personām ar invaliditāti un prognozējamu invaliditāti) un bezdarbniekiem ar esošu vai iespējamu alkohola, narkotisko vai psihotropo vielu atkarību. Profesionālās piemērotības noteikšanas, veselības pārbaudes, motivācijas programma darba meklēšanai, speciālistu (karjeras konsultantu, psihologu, psihoterapeitu u.c.) konsultācijas, u.c. atbalsta pasākumi.</t>
  </si>
  <si>
    <t>Atbalsts ilgstošajiem bezdarbniekiem</t>
  </si>
  <si>
    <t>Activation measures for long-term unemployed</t>
  </si>
  <si>
    <t>Support for long-term unemployed</t>
  </si>
  <si>
    <t xml:space="preserve">Specifiskā atbalsta mērķa ietvaros paredzēts atbalsts:
-  sabiedrības izpratnes veidošanas pasākumiem par sociāliem uzņēmumiem, to nozīmi un iespējamo ieguldījumu tautsaimniecības izaugsmes un sabiedrības attīstības veicināšanā, un to atbalsta sistēmas veidošanas pasākumiem (piemēram, informēšanas un izglītošanas pasākumi, diskusijas, konsultācijas);
-  sociālo uzņēmumu atbalsta sistēmas izstrādei (sociālo uzņēmumu pazīmju, atlases kritēriju, to piemērošanas metodikas izstrāde un finansējuma saņēmēja un sadarbības partnera apmācība, pasākuma dalībnieku reģistra prototipa izstrāde un darbības nodrošināšana un sociālo uzņēmumu atbalsta instrumentu, atbalsta sniegšanas metodikas izstrāde un finansējuma saņēmēja un sadarbības partnera apmācība);
-  sociālās uzņēmējdarbības uzsākšanas veicināšanai (sociālās uzņēmējdarbības ideju konkursa organizēšana, konsultāciju nodrošināšana sociālās uzņēmējdarbības uzsācēju biznesa plānu izstrādei);
-  sociālo uzņēmumu atbalsta instrumentu piemērošana un sociālās uzņēmējdarbības uzsācēju biznesa plānu īstenošanai;
-  pasākuma starprezultātu novērtēšanai un priekšlikumu izstrādei tiesiskā ietvara un atbalsta pilnveidošanai;
</t>
  </si>
  <si>
    <t xml:space="preserve">Sociālā uzņēmējdarbība </t>
  </si>
  <si>
    <t>Support for social entrepreneurship</t>
  </si>
  <si>
    <t>Social entrepreneurship</t>
  </si>
  <si>
    <t>Specifiskā atbalsta mērķa ietvaros paredzēts atbalsts:
-  Integrētiem profesionālās piemērotības noteikšanas un prasmju pilnveidošanas pasākumiem ieslodzītajiem, pasākumiem ieslodzīto un bijušo ieslodzīto karjeras plānošanai karjeras konsultācijām ieslodzītajiem, profesionālās izglītības programmu prakses vietu nodrošināšanai ieslodzījuma vietā (tai skaitā sadarbība ar NVA), profesionālās tālākizglītības un neformālās izglītības programmu īstenošanas nodrošināšanai pēc ieslodzījuma, valsts valodas apguves pasākumiem ieslodzītajiem un bijušajiem ieslodzītajiem (VPD klientiem), kas nav NVA klienti, profesionālās izglītības sasaistē ar darba piedāvājumu ieslodzījuma vietā un pēc ieslodzījuma;
-  Specifiskiem atbalsta pasākumiem bijušo ieslodzīto nodarbināšanai atbalsta programmu īstenošanai bijušajiem ieslodzītajiem, darbs ar noziedzīgās uzvedības riskiem, kas saglabājušies pēc atbrīvošanas, atkarību novēršanas pasākumi, atbalsta pasākumi, ja bijušais ieslodzītais cietis no vardarbības;
-  Jaunu atbalsta metožu īstenošanai bijušajiem ieslodzītajiem  (priekšlikumu izstrāde jauno atbalsta metožu ieviešanai, jauno atbalsta metožu sabiedrībā bijušajiem ieslodzītajiem īstenošana, atbalsta metožu koordinēšana);
-  Brīvprātīgo darbam ar ieslodzītajiem ieslodzījuma vietās un bijušajiem ieslodzītajiem sabiedrībā (nepieciešamās izpētes veikšana un modeļa ieviešana, brīvprātīgo apmācības un darba ar ieslodzītajiem un bijušajiem ieslodzītajiem koordinēšana); 
-  Atbalsta pasākumiem bijušo ieslodzīto ģimenēm un pasākumiem bijušo ieslodzīto pozitīvo sociālo saišu uzturēšanai (programmu izstrāde, adaptēšana un īstenošana);</t>
  </si>
  <si>
    <t>Bijušo ieslodzīto integrācija sabiedrībā</t>
  </si>
  <si>
    <t>Integration of former prisoners into society and labour market</t>
  </si>
  <si>
    <t>Integration of former prisoners into society</t>
  </si>
  <si>
    <t>Specifiskā atbalsta mērķa ietvaros paredzēts atbalsts:
-  pētījumiem par IeVP un VPD esošo riska un vajadzību novērtēšanas (RVN) instrumentu darbības efektivitāti (validitāti) un RVN instrumentu attiecīgai pilnveidošanai;
-  trūkstošo RVN instrumentu adaptācijai un ieviešanai IeVP un VPD;
-  resocializācijas programmu standarta un akreditācijas sistēmas, tai skaitā rokasgrāmatas, izstrādei un ieviešanai, programmu akreditācijas kritēriju un metodikas izstrādei un resocializācijas programmu akreditācijas sistēmas efektivitātes izvērtēšanai un priekšlikumu izstrādei pilnveidošanai;
-  esošo resocializācijas programmu darbības efektivitātes (validitātes) izpētei un pilnveidošanai;
-  trūkstošo resocializācijas programmu iegūšanai vai izstrādei;
-  IeVP un VPD darbinieku mācību sistēmas pilnveidošanai;
-  darbā ar ieslodzītajiem un bijušajiem ieslodzītajiem iesaistītā personāla apmācībām;
-  kopīgu apmācību organizēšanai IeVP un VPD darbiniekiem, tai skaitā kopīgu apmācību sistēmas modeļu izstrādei, mācību vizītes, e-mācību sistēmas izveidei un ieviešanai IeVP un VPD un rokasgrāmatas izstrādei;
-  IeVP Mācību centra kapacitātes stiprināšanai;
-   IeVP un VPD personāla atlases sistēmas pilnveidei, tai skaitā IeVP un VPD darbinieku jaunu testēšanas metožu (psihometrijas testu) ieviešanai;
-  IeVP un VPD darbinieku profesionālās noturības stiprināšanai ;
-  atbalsta programmu bijušajiem ieslodzītajiem sertificēšanas sistēmas izveidei;
-  integrētu profesionālās piemērotības noteikšanas un prasmju pilnveidošanas pasākumu ieslodzītajiem, pasākumu ieslodzīto un bijušo ieslodzīto karjeras attīstīšanai izstrādei;
-  ikgadēji informatīvie pasākumiem, tai skaitā labas prakses popularizēšana sabiedrības stereotipu maiņai ;
-  konferenču un semināru organizēšanai;</t>
  </si>
  <si>
    <t>Resocializācijas sistēmas efektivitātes paaugstināšana</t>
  </si>
  <si>
    <t xml:space="preserve"> Strengthening of the efficiency of the Resocialization system</t>
  </si>
  <si>
    <t xml:space="preserve">Strengthening of the Resocialization system </t>
  </si>
  <si>
    <t>Diskriminācijas riskiem pakļauto iedzīvotāju integrācija</t>
  </si>
  <si>
    <t xml:space="preserve"> To facilitate integration of people at risk of discrimination into society and labour market</t>
  </si>
  <si>
    <t>Integration of population at risk of discrimination</t>
  </si>
  <si>
    <t>- profesionālās rehabilitācijas programmu izstrāde un ieviešana (personām ar smagu invaliditāti);
- prasmju sertificēšanas sistēmas izstrāde un apmācību programmu ieviešana (personām ar garīga rakstura traucējumiem).</t>
  </si>
  <si>
    <t>Funkcionēšanas novērtēšanas sistēmas izveide (pieaugušajiem un bērniem) un asistīvo tehnoloģiju (tehnisko palīglīdzekļu) apmaiņas sistēmas izveide un ieviešana izglītības iestādēs bērniem un jauniešiem ar funkcionēšanas traucējumiem no 7 – 25 gadiem, kuri iegūst izglītību vispārējās un profesionālās izglītības iestādēs.</t>
  </si>
  <si>
    <t>Invaliditātes noteikšanas sistēmas nepilngadīgām personām izvērtējums un pilnveide.</t>
  </si>
  <si>
    <t>Bērnu invaliditātes noteikšanas sistēmas pilnveide</t>
  </si>
  <si>
    <t>Increasing the quality of disability expertise system</t>
  </si>
  <si>
    <t>Improvement of disability expertise system for children</t>
  </si>
  <si>
    <t>Diskriminācijas novēršanas un sociālās iekļaušanas pakalpojumi personām, kuras pakļautas diskriminācijas riskam dzimuma, vecuma, invaliditātes, etniskās piederības dēļ, kā arī patvēruma meklētājiem un personām ar bēgļa vai alternatīvo statusu. Darba devēju un sabiedrības izpratnes un informētības paaugstināšanas pasākumi, t.sk. atbalstoši pasākumi iekļaujošas darba vides veicināšanai.</t>
  </si>
  <si>
    <t>Diskriminācijas novēršana</t>
  </si>
  <si>
    <t>Promoting diversity (prevention of discrimination)</t>
  </si>
  <si>
    <t>Prevention of discrimination</t>
  </si>
  <si>
    <t>Piekļuves uzlabošana kvalitatīviem veselības aprūpes un sociālajiem pakalpojumiem</t>
  </si>
  <si>
    <t>Enhancing access to affordable, sustainable and high-quality services, including health care and social services of general interest</t>
  </si>
  <si>
    <t>Access to affordable, sustainable and high-quality social and health care services</t>
  </si>
  <si>
    <t>Sociālo dienestu darba efektivitātes paaugstināšana</t>
  </si>
  <si>
    <t>To increase the efficiency of social services, and the professional skills of employees and inter-institutional cooperation for work with persons in risk situation</t>
  </si>
  <si>
    <t>Increasing the efficiency of social services</t>
  </si>
  <si>
    <t>Pašvaldību sociālo dienestu un to sociālā darba speciālistu kompetences pilnveide un  supervīzijas nodrošināšana, t.sk. pilotprojektu īstenošana sociālā darba kopienā attīstībai u.c.</t>
  </si>
  <si>
    <t>Profesionāla sociālā darba attīstība</t>
  </si>
  <si>
    <t>Development of professional social work in municipalities</t>
  </si>
  <si>
    <t>Development of professional social work</t>
  </si>
  <si>
    <t>Pasākuma ietvaros plānoti 10 pētījumi, t.sk. jauna iztikas minimuma groza metodoloģijas izstrāde un  ieviešana; ikgadēji nabadzības un sociālās atstumtības mazināšanas rīcībpolitikas novērtējumi; pētījums par starptautisko praksi personu ar invaliditāti atbalsta sistēmu jomā; pētījums par sociālās atstumtības riskam pakļauto bezdarbnieku iespējām iekļauties darba tirgū.</t>
  </si>
  <si>
    <t>Atbalsts bērniem ar saskarsmes grūtībām un uzvedības traucējumiem, t.sk. atbalsts speciālistiem, kas ar tiem strādā, un bērnu ģimenēm un likumiskajiem pārstāvjiem. Pasākuma ietvaros plānota arī konsultatīvā kabineta izveide Valsts bērnu tiesību aizsardzības inspekcijā un pētījuma veikšana par sabiedrības attieksmi attiecībā uz vardarbību ģimenē.</t>
  </si>
  <si>
    <t>Support for specialists working with children with behavioural problems</t>
  </si>
  <si>
    <t xml:space="preserve">Sabiedrībā balstīti sociālie pakalpojumi personām ar invaliditāti un ģimeniskai videi pietuvināti pakalpojumi bērniem </t>
  </si>
  <si>
    <t>Atbalsts: 
- pilngadīgām personām ar garīga rakstura traucējumiem, kuras saņem valsts finansētus ilgstošas sociālās aprūpes un sociālās rehabilitācijas institūciju pakalpojumus, kā arī personām, kuras potenciāli var nonākt ilgstošas aprūpes institūcijā; 
- ārpusģimenes aprūpē esošiem bērniem un jauniešiem līdz 17 gadu vecumam, kuri saņem valsts vai pašvaldības finansētus ilgstošas sociālās aprūpes un sociālās rehabilitācijas institūciju pakalpojumus; 
- bērniem ar funkcionāliem traucējumiem, kuri dzīvo ģimenēs, un viņu vecākiem vai likumiskajiem pārstāvjiem.
Pasākuma ietvaros tiks izvērtētas personu individuālās vajadzības un sagatavots atbalsta plāns, uz kuru pamata katrs plānošanas reģions izstrādās reģiona deinstitucionalizācijas plānu (t.sk. ilgstošas aprūpes institūciju un bērnu centru reorganizācijas plānus). Pilngadīgās personas ar garīga rakstura traucējumiem tiks sagatavotas pārejai uz dzīvi sabiedrībā un tiks attīstīti dažādi sabiedrībā balstīti pakalpojumi personām ar garīga rakstura traucējumiem, kā arī paralēli tiks attīstīti sociālās aprūpes un rehabilitācijas pakalpojumi bērniem ar invaliditāti un viņu ģimenes locekļiem. Plānoti arī informatīvi un izglītojoši pasākumi sabiedrības attieksmes maiņai, kā arī audžuģimeņu un aizbildņu skaita palielināšanai.</t>
  </si>
  <si>
    <t>Deinstitutionalization </t>
  </si>
  <si>
    <t>Tiks izstrādāts jauns sociālo pakalpojumu finansēšanas veids, kas nodrošinās individuālu pieeju aprūpes un atbalsta sniegšanā personām ar funkcionāliem traucējumiem, kā arī tiks izstrādāts atbalsta personas pakalpojums pilngadīgām personām ar garīga rakstura traucējumiem.</t>
  </si>
  <si>
    <t>Sociālo pakalpojumu sistēmas pilnveide</t>
  </si>
  <si>
    <t>Improvement of  social services support system</t>
  </si>
  <si>
    <t>Improvement of social services system</t>
  </si>
  <si>
    <t xml:space="preserve"> Atbalstīt prioritāro (sirds un asinsvadu, onkoloģijas, bērnu (sākot no perinatālā un neonatālā perioda) aprūpes un garīgās veselības) veselības jomu veselības tīklu attīstības vadlīniju un kvalitātes nodrošināšanas sistēmas izstrādi un ieviešanu, jo īpaši sociālās atstumtības un nabadzības riskam pakļauto iedzīvotāju veselības uzlabošanai.</t>
  </si>
  <si>
    <t>Specifiskā atbalsta mērķa ietvaros paredzēts atbalsts:
-  prioritāro veselības jomu veselības tīklu attīstības vadlīniju izstrādei;
-  vienotas nacionālās veselības aprūpes kvalitātes nodrošināšanas sistēmas izveidei un ieviešanai;</t>
  </si>
  <si>
    <t>Tīklu attīstības vadlīnijas un kvalitātes  sistēma</t>
  </si>
  <si>
    <t>To support the development and implementation of prior (cardiovascular,
oncology, children (from the perinatal and neonatal period) care and mental health care) health network development guidelines and quality assurance system, especially for improvement of health of people at risk of social exclusion and poverty</t>
  </si>
  <si>
    <t>Network development guidelines and quality assurance system</t>
  </si>
  <si>
    <t>Veselības veicināšanas un slimību profilakse</t>
  </si>
  <si>
    <t>To improve accessibility to health promotion and disease prevention services, especially to persons who are subject to the poverty and social exclusion risk</t>
  </si>
  <si>
    <t>Health promotion and disease prevention</t>
  </si>
  <si>
    <t>Specifiskā atbalsta mērķa ietvaros paredzēts atbalsts:
-  vispārējie sabiedrības veselības veicināšanas pasākumiem (drukātie materiāli, reklāmas mēdijos, vides reklāmas u.c.);
-   sabiedrības veselības pētījumiem un uzraudzības sistēmas izveidei un attīstībai;
-  veselības veicināšanas pasākumiem mērķa grupām (semināri un kursi speciālistiem);
-  slimību profilakses pasākumi (īsās motivējošās intervences, profilaktiskās apskates, speciālistu konsultācijas u.c.);</t>
  </si>
  <si>
    <t>Kompleksā veselības veicināšana un slimību profilakse</t>
  </si>
  <si>
    <t>A complex measures for health promotion and disease prevention measures</t>
  </si>
  <si>
    <t>Integrated health promotion and disease prevention</t>
  </si>
  <si>
    <t>Specifiskā atbalsta mērķa ietvaros paredzēts atbalsts:
-   veselības veicināšanas pasākumiem vietējai sabiedrībai (nometnes bērniem un jauniešiem, interešu grupas u.c.);
-  veselības veicināšanas pasākumiem mērķa grupām (specializēti pasākumi darbavietās soc. aprūpes iestādēs un izglītības iestādēs);</t>
  </si>
  <si>
    <t>Veselības veicināšana un slimību profilakse pašvaldībās</t>
  </si>
  <si>
    <t>Local measures to promote public health</t>
  </si>
  <si>
    <t>Health promotion and disease prevention in municipalities</t>
  </si>
  <si>
    <t>Specifiskā atbalsta mērķa ietvaros paredzēts atbalsts:
-  reģionālajiem komandējumiem personām, kas sniedz veselības aprūpes pakalpojumus teritoriālās vienībās ārpus Rīgas, kur šis pakalpojums atbilstoši veselības tīklu attīstības vadlīnijām ir nepieciešams, savukārt attiecīgs speciālists pakalpojumu sniegšanai nav pieejams un patstāvīgam darbam speciālistu piesaistīt nav efektīvi;
-  pārcelšanās pabalstam mājokļa nodrošināšanai personām, kuras noslēdz līgumu par veselības aprūpes vai farmaceita pakalpojumu sniegšanu uz noteiktu termiņu teritorijā, kurā pakalpojums atbilstoši veselības tīklu attīstības vadlīnijām ir nepieciešamas, savukārt attiecīgs speciālists pakalpojumu sniegšanai nav pieejams;
-  apmācībām personām, kuras noslēdz līgumu par veselības aprūpes vai farmaceita pakalpojumu sniegšanu uz noteiktu termiņu teritorijā, kurā pakalpojums atbilstoši veselības tīklu attīstības vadlīnijām ir nepieciešamas, savukārt attiecīgs speciālists pakalpojumu sniegšanai nav pieejams;
-  pasākumiem ārstniecības personu pakalpojumu pieejamības uzlabošanai reģionos ārpus Rīgas atbilstoši SAM 9.2.3.ietvaros izstrādātajām veselības tīklu attīstības vadlīnijām</t>
  </si>
  <si>
    <t>Ārstu un māsu piesaiste darbam reģionos</t>
  </si>
  <si>
    <t>To improve accessibility to health care and health care support persons who provide services in priority health sectors to inhabitants outside of Riga</t>
  </si>
  <si>
    <t>Attraction of medical staff to work in regions</t>
  </si>
  <si>
    <t>Specifiskā atbalsta mērķa ietvaros paredzēts atbalsts:
-  Apmācībām ārstniecības un ārstniecības atbalsta personām, kā arī farmācijas speciālistiem;
-  Apmācībām sociālā darba speciālistiem (prasmēm sociālā pakalpojuma sniegšanas ietvaros identificēt nepieciešamību piesaistīt ārstniecības personālu); 
-  Apmācību programmu un materiālu izstrādei.</t>
  </si>
  <si>
    <t>Ārstniecības personu tālākizglītība</t>
  </si>
  <si>
    <t>To improve  qualification of health care and health care support personnel</t>
  </si>
  <si>
    <t>Life- long learning for medical staff</t>
  </si>
  <si>
    <t>Veselības aprūpes un sociālā infrastruktūra</t>
  </si>
  <si>
    <t>Investing in health and social infrastructure which contributes to national, regional and local development, reducing inequalities in terms of health status, and promoting social inclusion through improved access to social, cultural and recreational services and the transition from institutional to community-based services</t>
  </si>
  <si>
    <t>Health care and social infrastructure</t>
  </si>
  <si>
    <t>Infrastruktūra bērnu aprūpei ģimeniskā vidē un personu ar invaliditāti integrācijai sabiedrībā</t>
  </si>
  <si>
    <t>Developing the infrastructure of services for family like care of children and persons with disability for independent life and integration into the community</t>
  </si>
  <si>
    <t>Infrastructure for services for family like care of children and for integration of persons with disabilities into the community</t>
  </si>
  <si>
    <t>Ieguldījumi sociālajā infrastruktūrā sabiedrībā balstītu pakalpojumu sniegšanai personām ar garīga rakstura traucējumiem – dienas centru, dienas aprūpes centru, grupu dzīvokļu, mājokļu, specializēto darbnīcu izveide, labiekārtošana; sabiedrībā balstītu sociālās rehabilitācijas pakalpojumu infrastruktūras izveide bērniem ar funkcionāliem traucējumiem; “jauniešu māju” un ģimeniskai videi pietuvinātu pakalpojuma sniedzēju izveide ārpusģimenes aprūpē esošiem bērniem.</t>
  </si>
  <si>
    <t>Infrastruktūra deinstitucionalizācijai</t>
  </si>
  <si>
    <t>Development of the infrastructure of services for the implementation of deinstitutionalisation plans</t>
  </si>
  <si>
    <t>Infrastructure for deinstitutionalisation</t>
  </si>
  <si>
    <t>Ieguldījumi infrastruktūrā 9.1.4.2.pasākuma ietvaros paredzētajai funkcionēšanas novērtēšanas laboratorijas izveidei un tehnisko palīglīdzekļu apmaiņas fonda izveidē, t.sk. telpu pārbūve un atjaunošana laboratorijas un tehnisko palīglīdzekļu apmaiņas fonda bērniem un jauniešiem ar funkcionēšanas traucējumiem no 7 – 25 gadiem izveidei; laboratorijas aprīkojuma un tehnisko palīglīdzekļu iegāde; datu bāzes izveide informācijas apkopošanai.</t>
  </si>
  <si>
    <t>Specifiskā atbalsta mērķa ietvaros paredzēts atbalsts:
-  Būvniecības darbiem;
-   Iekārtu un aprīkojuma iegādei un montāžai;
-  Informācijas tehnoloģiju risinājumu kvalitātes nodrošināšanas sistēmas ieviešanai;</t>
  </si>
  <si>
    <t>Veselības aprūpes infrastruktūra</t>
  </si>
  <si>
    <t>Improving access to quality health care, especially to population subject to the social and territorial exclusion and poverty risk by developing the health care infrastructure</t>
  </si>
  <si>
    <t>Health care infrastructure</t>
  </si>
  <si>
    <t>ESF tehniskā palīdzība</t>
  </si>
  <si>
    <t>Technical assistance “ESF support for implementation and management of CP Funds” </t>
  </si>
  <si>
    <t>ESF Technical Assistance</t>
  </si>
  <si>
    <t>TP KP fondu izvērtēšanas kapacitātei</t>
  </si>
  <si>
    <t>To increase CP funds evaluation capacity</t>
  </si>
  <si>
    <t>TA for CP funds evaluation</t>
  </si>
  <si>
    <t>TP informācijai un komunikācijai</t>
  </si>
  <si>
    <t>To raise awareness of the cohesion funds, providing support for information and communication activities</t>
  </si>
  <si>
    <t>TA for information and communication</t>
  </si>
  <si>
    <t>ERAF tehniskā palīdzība</t>
  </si>
  <si>
    <t>Technical assistance “ERDF support for implementation and management of CP Funds” </t>
  </si>
  <si>
    <t>ERDF Technical Assistance</t>
  </si>
  <si>
    <t>TP KP fondu plānošanai, ieviešanai, uzraudzībai un kontrolei</t>
  </si>
  <si>
    <t>To support and improve CP fund planning, implementation, monitoring and control</t>
  </si>
  <si>
    <t>TA for CP fund planning, implementation, monitoring and control</t>
  </si>
  <si>
    <t>KF tehniskā palīdzība</t>
  </si>
  <si>
    <t>Technical assistance “CF support for implementation and management of CP Funds” </t>
  </si>
  <si>
    <t>CF Technical Assistance</t>
  </si>
  <si>
    <t>TP KP fondu plānošanai, ieviešanai, uzraudzībai, kontrolei, revīzijai un e-kohēzijai</t>
  </si>
  <si>
    <t>Improve CP fund planning, implementation, monitoring, control, audit and support e-cohesion</t>
  </si>
  <si>
    <t>TA for CP fund planning, implementation, monitoring, control, audit and e-cohesion</t>
  </si>
  <si>
    <t>1.1.1.</t>
  </si>
  <si>
    <t>IKT</t>
  </si>
  <si>
    <t>Garie SAM nosaukumi</t>
  </si>
  <si>
    <t>Publisko pakalpojumu pārveides metodoloģijas izstrāde un aprobācija</t>
  </si>
  <si>
    <t>3.4.2.3</t>
  </si>
  <si>
    <t>Izaugsme un nodarbinātība</t>
  </si>
  <si>
    <t>5.4.3</t>
  </si>
  <si>
    <t>Pasākumi biotopu un sugu aizsardzības labvēlīga statusa atjaunošanai</t>
  </si>
  <si>
    <t>Pieejamais ES fondu finansējums</t>
  </si>
  <si>
    <t>9.2.2.3</t>
  </si>
  <si>
    <t>Sabiedrībā balstītu sociālo pakalpojumu sniegšana</t>
  </si>
  <si>
    <t>Finanšu instrumenti mazo un vidējo uzņēmumu (MVU) konkurētspējas uzlabošanai</t>
  </si>
  <si>
    <t>10.1.3</t>
  </si>
  <si>
    <t xml:space="preserve">TP KP fondu ieviešanai, uzraudzībai, kontrolei, revīzijai, horizontālās politikas principu koordinēšanai un e-kohēzijai </t>
  </si>
  <si>
    <t>Valsts pārvaldes profesionālā pilnveide, publisko pakalpojumu un sociālā dialoga attīstība mazo un vidējo komersantu atbalsta, korupcijas novēršanas un ēnu ekonomikas mazināšanas sekmēšanai</t>
  </si>
  <si>
    <t>Atbalstīt un uzlabot Kohēzijas politikas fondu ieviešanu, uzraudzību, kontroli, revīziju, horizontālās politikas principu koordinēšanu un pilnveidot e-kohēziju</t>
  </si>
  <si>
    <t>Progresa dinamika, % pret piešķīrumu</t>
  </si>
  <si>
    <r>
      <t>Progress*, procentpunkti salīdzinot ar iepriekšējo periodu</t>
    </r>
    <r>
      <rPr>
        <b/>
        <vertAlign val="superscript"/>
        <sz val="13"/>
        <rFont val="Times New Roman"/>
        <family val="1"/>
        <charset val="186"/>
      </rPr>
      <t>3</t>
    </r>
  </si>
  <si>
    <r>
      <t xml:space="preserve">* Progress, procentpunkti (3.2., 4.2., 5.2. un 6.2. kolonas) tiek aprēķināts kā starpība starp iepriekšējā perioda procentu no piešķīruma un kārtējā perioda procentu no piešķīruma (3.1.,4.1.,5.1. un 6.1. kolonu vērtības). Piemēram, līdz janvāra beigām tika noslēgti līgumi par 20% no piešķirtā finansējuma, bet februārī noslēgto līgumu apjoms sasniedza 25% no piešķirtā finansējuma. </t>
    </r>
    <r>
      <rPr>
        <b/>
        <sz val="14"/>
        <color theme="1"/>
        <rFont val="Times New Roman"/>
        <family val="1"/>
        <charset val="186"/>
      </rPr>
      <t>Progress procentpunktos ir 25%-20%=5%.</t>
    </r>
    <r>
      <rPr>
        <sz val="14"/>
        <color theme="1"/>
        <rFont val="Times New Roman"/>
        <family val="1"/>
        <charset val="186"/>
      </rPr>
      <t xml:space="preserve">
** Progresa dinamika (3.3., 4.3., 5.3. un 6.3. kolonas) tiek aprēķināta kā starpība starp kārtējā un iepriekšējā perioda vērtībām dalīta uz iepriekšējā perioda vērtību, pēc būtības tas ir pieaugums, salīdzinot ar iepriekšējo periodu. Piemēram, līdz janvāra beigām tika noslēgti līgumi par 100 milj.  euro, bet februārī noslēgto līgumu apjoms sasniedza 150 milj. euro. </t>
    </r>
    <r>
      <rPr>
        <b/>
        <sz val="14"/>
        <color theme="1"/>
        <rFont val="Times New Roman"/>
        <family val="1"/>
        <charset val="186"/>
      </rPr>
      <t>Progresa dinamika ir (150-100)/100=0,5, jeb 50%</t>
    </r>
    <r>
      <rPr>
        <sz val="14"/>
        <color theme="1"/>
        <rFont val="Times New Roman"/>
        <family val="1"/>
        <charset val="186"/>
      </rPr>
      <t xml:space="preserve">. Pieaugums salīdzinot ar iepriekšējo periodu, jeb progresa dinamika, ir 50%. 
*** Ja Specifiskajam atbalsta mērķim vai pasākumam samazinājies gan iesniegto, gan apstiprināto projektu finansējums, gan arī noslēgto līgumu summa, ir veikti līgumu grozījumi (t.sk. pabeigtiem projektiem atbilstoši faktiskajām izmaksām), kā rezultātā samazinājušās attiecināmās izmaksas, vai arī ir pārtraukts kāds no projektiem. </t>
    </r>
  </si>
  <si>
    <t>12 - Nepiemēro (tikai tehniska palīdzība)</t>
  </si>
  <si>
    <t>09 - Veicināt sociālo iekļautību, apkarot nabadzību un jebkādu diskrimināciju</t>
  </si>
  <si>
    <t>08 - Veicināt stabilas un kvalitatīvas darba vietas un atbalstīt darbaspēka mobilitāti</t>
  </si>
  <si>
    <t>10 - Veikt investīcijas izglītībā, apmācībā un profesionālajā apmācībā prasmju ieguvei, kā arī mūžizglītībā</t>
  </si>
  <si>
    <t>07 - Veicināt ilgtspējīgu transportu un novērst trūkumus galvenajās tīkla infrastruktūrās</t>
  </si>
  <si>
    <t>06 - Saglabāt un aizsargāt vidi un uzlabot resursu izmantošanas efektivitāti</t>
  </si>
  <si>
    <t>05 - Veicināt pielāgošanos klimata pārmaiņām, risku novēršanu un vadību</t>
  </si>
  <si>
    <t>04 - Atbalstīt pāreju uz zemu oglekļa emisiju ekonomiku visās nozarēs</t>
  </si>
  <si>
    <t>11 - Publisko iestāžu un ieinteresēto personu institucionālo spēju uzlabošana un efektīva valsts pārvalde</t>
  </si>
  <si>
    <t>03 - Uzlabot mazo un vidējo uzņēmumu (MVU) konkurētspēju</t>
  </si>
  <si>
    <t>02 - Uzlabot piekļuvi informācijai un komunikācijas tehnoloģijām, to izmantošanu un kvalitāti</t>
  </si>
  <si>
    <t>01 - Nostiprināt pētniecību, tehnoloģiju attīstību un inovāciju</t>
  </si>
  <si>
    <t>Summa, EUR</t>
  </si>
  <si>
    <t>Kods</t>
  </si>
  <si>
    <t>Pasākums</t>
  </si>
  <si>
    <t>Specifiskie atbalsta mērķi</t>
  </si>
  <si>
    <t>Sagatavots: 29.11.2019</t>
  </si>
  <si>
    <t>Kategorija: Tematiskie mērķi</t>
  </si>
  <si>
    <t>Līmenis: Pasākums</t>
  </si>
  <si>
    <t>Page by:</t>
  </si>
  <si>
    <t>Līmenis = Pasākums</t>
  </si>
  <si>
    <t>Report Filter:</t>
  </si>
  <si>
    <t>2. Intervences kategorijas - Pasākuma līmenis</t>
  </si>
  <si>
    <t>Tematiskais mērķis</t>
  </si>
  <si>
    <t>Finansējums par kuru tiks virzīti MKN grozījumi</t>
  </si>
  <si>
    <t>-</t>
  </si>
  <si>
    <t>ESF
ERAF
KF</t>
  </si>
  <si>
    <t>Atbalsts mazo, vidējo komersantu finansējuma piesaistei kapitāla tirgos</t>
  </si>
  <si>
    <t>Funkcionēšanas novērtēšanas sistēmas izveide un ieviešana un asistīvo tehnoloģiju (tehnisko palīglīdzekļu) pieejamības un pielietojuma Latvijas izglītības iestādēs izpēte</t>
  </si>
  <si>
    <t>Infrastruktūras attīstība funkcionēšanas novērtēšanas sistēmas izveidei</t>
  </si>
  <si>
    <t>MKN grozījumi apstirpināti 25.02.</t>
  </si>
  <si>
    <t>MKN grozījumi apstirpināti 25.02.; daļa snieguma rezerves pārdlaīta uz 8311 pasākumu; pārējais k\ā 852SAM pieejamais finansējums</t>
  </si>
  <si>
    <t>1) 7.2.1.1. un 7.2.1.2. pasākumu ietvaros tiek īstenoti 2 projekti, kas tiek finansēti vienlaicīgi no diviem avotiem:  ESF un JNI</t>
  </si>
  <si>
    <t xml:space="preserve">2) Pasākumos 3.1.1.1., 3.1.1.2., 3.1.1.4., 3.1.2.1., 3.1.2.2. par finanšu vadības instrumentu īstenošanu ir saņemts viens projektu iesniegums par visiem norādītajiem pasākumiem un noslēgts nolīgums ar AS "Attīstības finanšu institūcija Altum". Tabulā finansējums ir izdalīts proporcionāli pasākumā pieejamajam, bet projektu un līgumu skaits norādīts tikai pasākumā 3.1.2.1. </t>
  </si>
  <si>
    <t xml:space="preserve">3) Ja Specifiskajam atbalsta mērķim vai pasākumam samazinājies gan iesniegto, gan apstiprināto projektu finansējums, gan arī noslēgto līgumu summa, ir veikti līgumu grozījumi (t.sk. pabeigtiem projektiem atbilstoši faktiskajām izmaksām), kā rezultātā samazinājušās attiecināmās izmaksas, vai arī ir pārtraukts kāds no projektiem. </t>
  </si>
  <si>
    <t>01.01.2014</t>
  </si>
  <si>
    <t>Snieguma rezerve atbilstoši MK noteikumiem,
ES fondu finansējums (pēdējo reizi aktualizēta 08.06.2020)</t>
  </si>
  <si>
    <t>9.2.7</t>
  </si>
  <si>
    <t>6.1.6</t>
  </si>
  <si>
    <t>Transporta nozares informācijas nacionālā piekļuves punkta izveide</t>
  </si>
  <si>
    <t>SAM piesaistīts finansējums</t>
  </si>
  <si>
    <t>Finansējums BEZ MK</t>
  </si>
  <si>
    <t>ES fondi infografikai</t>
  </si>
  <si>
    <t>ES fondi</t>
  </si>
  <si>
    <t>Virssaistības</t>
  </si>
  <si>
    <t>BEZ MK no statusa tabulas</t>
  </si>
  <si>
    <t>ERAF/JNI</t>
  </si>
  <si>
    <t>KF/JNI</t>
  </si>
  <si>
    <t>Starpība</t>
  </si>
  <si>
    <t>Piešķīrums bez MKN</t>
  </si>
  <si>
    <t>Virssaistības bez MKN</t>
  </si>
  <si>
    <t>Finansējums par kuru tiks virzīti MKN grozījumi sadalījumā pa SAMP</t>
  </si>
  <si>
    <t xml:space="preserve">2) Pasākumos 3.1.1.1., 3.1.1.2., 3.1.1.4., 3.1.2.1., 3.1.2.2. par finanšu instrumentu īstenošanu ir saņemts viens projektu iesniegums par visiem norādītajiem pasākumiem un noslēgts nolīgums ar AS "Attīstības finanšu institūcija Altum". Tabulā finansējums ir izdalīts proporcionāli pasākumā pieejamajam, bet projektu un līgumu skaits norādīts tikai pasākumā 3.1.2.1. </t>
  </si>
  <si>
    <t>7) 2,015 milj.EUR, kas izņemti no 4.3.1.SAM</t>
  </si>
  <si>
    <t>Atbalsts ārstniecības personām, kas nodrošina pacientu ārstēšanu sabiedrības veselības krīžu situāciju novēršanai</t>
  </si>
  <si>
    <t>AIGARS DAVIDOVIČS</t>
  </si>
  <si>
    <t>4) Virssaistības norādītas indikatīvi, jo statusa tabulātiek norādīta tikai fondu daļa, proti, par aptuveni 15% summa samazināsies pēc MK noteikumu vai to grozījumu apstiprināšanas.
Virssaistības 11 milj. EUR 1.1.1.1.pasākumam; 19,7 milj. 1.2.2.1. un 1.2.2.3.pasākumam; 25 milj. Altum Ieguldījumu fondam; 7,86 milj. EUR 8.2.3.SAM</t>
  </si>
  <si>
    <t/>
  </si>
  <si>
    <t>Starpība maksājumiem pret ES fondu piešķīrumu</t>
  </si>
  <si>
    <t>Noslēgtie līgumi uz valsts budžeta virssaistību rēķina</t>
  </si>
  <si>
    <t>PV</t>
  </si>
  <si>
    <t>Jomas - PV</t>
  </si>
  <si>
    <t>Piešķirtais ES fondu finansējums*</t>
  </si>
  <si>
    <t>Virssaistības par kurām tiks virzīti MK noteikumu grozījumi</t>
  </si>
  <si>
    <t>8=3-7</t>
  </si>
  <si>
    <t>Darbinieku kompetences paaugstināšana komersantu konkurētspējai</t>
  </si>
  <si>
    <t>Kompetences paaugstināšana komercdarbības vides uzlabošanai, sociālā iekļaušana</t>
  </si>
  <si>
    <t>Atbalsts fondu vadībai</t>
  </si>
  <si>
    <t xml:space="preserve"> </t>
  </si>
  <si>
    <t xml:space="preserve"> Kultūras un dabas mantojums, Rīgas teritorijas sociālekonomiska izmantošana</t>
  </si>
  <si>
    <t>veselība</t>
  </si>
  <si>
    <t>Nodarbinātība un sociālā iekļaušana</t>
  </si>
  <si>
    <t>IKT, vide un reģionālā attīstība, komersantu konkurētspēja</t>
  </si>
  <si>
    <t>Komersantu konkurētspēja, energoefektivitāte, inovācijas</t>
  </si>
  <si>
    <t>Izglītība, pētniecība, attīstība un inovācijas</t>
  </si>
  <si>
    <t>Transports, sakari</t>
  </si>
  <si>
    <t>KOPĀ:</t>
  </si>
  <si>
    <t xml:space="preserve">Kopējais piešķīrums </t>
  </si>
  <si>
    <t xml:space="preserve">Virssaistības  atbilstoši apst. MK
</t>
  </si>
  <si>
    <t xml:space="preserve">Maksājumi FS </t>
  </si>
  <si>
    <t xml:space="preserve">Projektu līgumi </t>
  </si>
  <si>
    <t>6.1.7.1</t>
  </si>
  <si>
    <t>6.1.7.2</t>
  </si>
  <si>
    <t>Nodrošināt inovatīvu tehnoloģisko risinājumu ieviešanu ārējās robežas kontrolē</t>
  </si>
  <si>
    <t>Ar Rail Baltica projekta saistītās atbalsta infrastruktūras pārbūve</t>
  </si>
  <si>
    <t>2.1.2</t>
  </si>
  <si>
    <t>6.1.7</t>
  </si>
  <si>
    <t>Multimodāla transporta sistēmas iespējošana</t>
  </si>
  <si>
    <t>React EU</t>
  </si>
  <si>
    <t>React EU (264 milj. €)</t>
  </si>
  <si>
    <t xml:space="preserve">5) Virssaistības ņemot vērā MK 08.06.2021.32.§ lemto par virssaistību pārcelšanu uz React-EU.
</t>
  </si>
  <si>
    <t>Kopā REACT EU ERAF</t>
  </si>
  <si>
    <t>Kopā REACT EU ESF</t>
  </si>
  <si>
    <t>REACT EU ERAF finansējums par kuru tiks virzīti MKN grozījumi</t>
  </si>
  <si>
    <t>REACT EU ESF finansējums par kuru tiks virzīti MKN grozījumi</t>
  </si>
  <si>
    <t>REACT EU finansējums par kuru tiks virzīti MKN grozījumi</t>
  </si>
  <si>
    <t>REACT EU ERAF</t>
  </si>
  <si>
    <t>REACT EU ESF</t>
  </si>
  <si>
    <t>MVU izveide un attīstība (finanšu instrumenti)</t>
  </si>
  <si>
    <t>Energoefektivitātes veicināšana dzīvojamās ēkās</t>
  </si>
  <si>
    <t>Pētniecība un inovācijas</t>
  </si>
  <si>
    <t>Teritoriju revitalizācija uzņēmējdarbības veicināšanai pašvaldībās</t>
  </si>
  <si>
    <t>REACT EU</t>
  </si>
  <si>
    <t>t.sk.ReactEU</t>
  </si>
  <si>
    <t>3.1.1.7</t>
  </si>
  <si>
    <t xml:space="preserve">MKN groz. apstiprināti 28.09. </t>
  </si>
  <si>
    <t>MKN groz.24.08.MK</t>
  </si>
  <si>
    <t>Energoefektivitātes paaugstināšana pašvaldību infrastruktūrā ekonomiskās situācijas uzlabošanai</t>
  </si>
  <si>
    <t>Aizdevumi MVK</t>
  </si>
  <si>
    <t>5.4.3.1</t>
  </si>
  <si>
    <t>Eiropas Savienības nozīmes dzīvotņu atjaunošana</t>
  </si>
  <si>
    <t>5.4.3.2</t>
  </si>
  <si>
    <t>Kompleksu apsaimniekošanas pasākumu īstenošana Natura 2000 teritorijās</t>
  </si>
  <si>
    <t>13</t>
  </si>
  <si>
    <t>13.1</t>
  </si>
  <si>
    <t>Palīdzēt veicināt ar Covid-19 pandēmiju un tās sociālajām sekām saistītās krīzes seku pārvarēšanu un sagatavoties zaļai, digitālai un noturīgai ekonomikas atveseļošanai</t>
  </si>
  <si>
    <t>13.1.4</t>
  </si>
  <si>
    <t>Atveseļošanas pasākumi kultūras jomā</t>
  </si>
  <si>
    <t>ReactEU ERAF</t>
  </si>
  <si>
    <t>13.</t>
  </si>
  <si>
    <t>13.1.3.1</t>
  </si>
  <si>
    <t>13.1.1.2</t>
  </si>
  <si>
    <t>Brīvais finansējums</t>
  </si>
  <si>
    <t>React EU ERAF</t>
  </si>
  <si>
    <t>React EU Nesadalītais finansējums</t>
  </si>
  <si>
    <t>Brīvais fiansējums (t.sk REACT EU)</t>
  </si>
  <si>
    <t>MK nesadalītais finansējums (ieskaitot React EU)</t>
  </si>
  <si>
    <r>
      <t xml:space="preserve">Kopā grafikā, </t>
    </r>
    <r>
      <rPr>
        <b/>
        <sz val="14"/>
        <color rgb="FFFF0000"/>
        <rFont val="Calibri"/>
        <family val="2"/>
        <charset val="186"/>
        <scheme val="minor"/>
      </rPr>
      <t>izmanto, lai pārbaudītu grafika labajā pusē kopējā piešķīruma ciparus (Fondu piešķīrums*)</t>
    </r>
  </si>
  <si>
    <t>13.1.1.1</t>
  </si>
  <si>
    <t>13.1.2.1</t>
  </si>
  <si>
    <t>13.1.2.2</t>
  </si>
  <si>
    <t>13.1.3.2</t>
  </si>
  <si>
    <t>13.1.3.3</t>
  </si>
  <si>
    <t>14.1.1.1</t>
  </si>
  <si>
    <t>14.1.1.2</t>
  </si>
  <si>
    <t>Improve R&amp;I infrastructure and  develop R&amp;I excellence</t>
  </si>
  <si>
    <t>Inovatīvi IT risinājumi robežkontrolē</t>
  </si>
  <si>
    <r>
      <t xml:space="preserve">To </t>
    </r>
    <r>
      <rPr>
        <sz val="14"/>
        <color theme="1"/>
        <rFont val="Times New Roman"/>
        <family val="1"/>
        <charset val="186"/>
      </rPr>
      <t>Ensure the introduction of innovative technological solutions in the control of the external borders</t>
    </r>
  </si>
  <si>
    <r>
      <t>Innovative IT solutions</t>
    </r>
    <r>
      <rPr>
        <sz val="14"/>
        <color theme="1"/>
        <rFont val="Times New Roman"/>
        <family val="1"/>
        <charset val="186"/>
      </rPr>
      <t> </t>
    </r>
    <r>
      <rPr>
        <sz val="14"/>
        <color rgb="FF1F497D"/>
        <rFont val="Times New Roman"/>
        <family val="1"/>
        <charset val="186"/>
      </rPr>
      <t>of</t>
    </r>
    <r>
      <rPr>
        <sz val="14"/>
        <color theme="1"/>
        <rFont val="Times New Roman"/>
        <family val="1"/>
        <charset val="186"/>
      </rPr>
      <t> border control</t>
    </r>
  </si>
  <si>
    <t>Promoting entrepreneurship, in particular by facilitating the economic exploitation of new ideas and fostering the creation of new firms, including through business incubators.</t>
  </si>
  <si>
    <t>Atbalsts MVK finansējuma piesaistei kapitāla tirgos</t>
  </si>
  <si>
    <t>Support for raising funding for small and medium-sized enterprises in capital markets</t>
  </si>
  <si>
    <t>Support for raising funding for SMEs in capital markets</t>
  </si>
  <si>
    <t>3.1.1.7.</t>
  </si>
  <si>
    <t>Aizdevumi sīko (mikro), mazo un vidējo saimnieciskās darbības veicēju attīstībai</t>
  </si>
  <si>
    <t>Loans for the development of small (micro), small and medium-sized economic operators</t>
  </si>
  <si>
    <t>Loans to SME's</t>
  </si>
  <si>
    <t xml:space="preserve">Professional development of public administration for development of better legal regulation in the fields of support to small and medium-sized enterprises, anti-corruption and mitigation of the shadow economy </t>
  </si>
  <si>
    <t xml:space="preserve">Development and approbation of the methodology for the transformation of public services </t>
  </si>
  <si>
    <t>Tramvaji un elektrovilcieni</t>
  </si>
  <si>
    <t>To develop the infrastructure of environmentally friendly public transport (rail transport)</t>
  </si>
  <si>
    <t>Trams and electric trains</t>
  </si>
  <si>
    <t>Biotopu atjaunošana</t>
  </si>
  <si>
    <t>Measures to restore the favourable conservation status of habitats and species</t>
  </si>
  <si>
    <t>Habitat restoration</t>
  </si>
  <si>
    <t>Dzīvotņu atjaunošana</t>
  </si>
  <si>
    <t>Renewal of habitats of European Union importance</t>
  </si>
  <si>
    <t>Renewal of habitats</t>
  </si>
  <si>
    <t>Kompleksu  apsaimniekošanas pasākumu īstenošana Natura 2000 teritorijās</t>
  </si>
  <si>
    <t xml:space="preserve">Apsaimniekošanas pasākumi Natura 2000 teritorijās </t>
  </si>
  <si>
    <t xml:space="preserve">Implementation of complex management measures
 in Natura 2000 territories </t>
  </si>
  <si>
    <t xml:space="preserve">Management measures
 in Natura 2000 territories </t>
  </si>
  <si>
    <t>Cultural and natural heritage</t>
  </si>
  <si>
    <t>To ensure necessary infrastructure on main flyovers of Riga and to prevent fragmentary nature of main streets</t>
  </si>
  <si>
    <t>Reconstruction of Riga bridges and flyovers</t>
  </si>
  <si>
    <t>Infrastructure connections of major cities with the TEN-T network</t>
  </si>
  <si>
    <t>Transporta nozares informācijas piekļuves punkta izveide</t>
  </si>
  <si>
    <t>Establishment of a national access point for transport information</t>
  </si>
  <si>
    <t>Establishment of an access point for transport information</t>
  </si>
  <si>
    <t>6.1.7.</t>
  </si>
  <si>
    <t>Multimodāla transporta sistēma</t>
  </si>
  <si>
    <t>Enabling a multimodal transport system</t>
  </si>
  <si>
    <t>Multimodal transport system</t>
  </si>
  <si>
    <t>Access to employment for job-seekers and inactive people, including the long-term unemployed and people farthest away from the labour market, also through local employment initiatives and support for labour mobility</t>
  </si>
  <si>
    <t>To improve the qualification and skills respomding to the labour market needs</t>
  </si>
  <si>
    <t xml:space="preserve">To create an anticipatory restructuring a system for the labour market, and linking in to the Labour market barometer </t>
  </si>
  <si>
    <t>Anticipatory restructuring system of  labour market</t>
  </si>
  <si>
    <r>
      <t>Dev</t>
    </r>
    <r>
      <rPr>
        <sz val="14"/>
        <color theme="1"/>
        <rFont val="Times New Roman"/>
        <family val="1"/>
        <charset val="186"/>
      </rPr>
      <t xml:space="preserve">eloping of a </t>
    </r>
    <r>
      <rPr>
        <sz val="14"/>
        <rFont val="Times New Roman"/>
        <family val="1"/>
        <charset val="186"/>
      </rPr>
      <t>model for better matching and anticipati</t>
    </r>
    <r>
      <rPr>
        <sz val="14"/>
        <color theme="1"/>
        <rFont val="Times New Roman"/>
        <family val="1"/>
        <charset val="186"/>
      </rPr>
      <t xml:space="preserve">on of labour market needs </t>
    </r>
  </si>
  <si>
    <t>Implementation of active labour market policy measures for supporting the employment of young unemployed</t>
  </si>
  <si>
    <r>
      <t xml:space="preserve"> Imple</t>
    </r>
    <r>
      <rPr>
        <sz val="14"/>
        <color theme="1"/>
        <rFont val="Times New Roman"/>
        <family val="1"/>
        <charset val="186"/>
      </rPr>
      <t>mentation of active labour market policy measures for supporting</t>
    </r>
    <r>
      <rPr>
        <sz val="14"/>
        <rFont val="Times New Roman"/>
        <family val="1"/>
        <charset val="186"/>
      </rPr>
      <t xml:space="preserve"> the employment of young unemployed</t>
    </r>
  </si>
  <si>
    <t>Digitālo līdzekļu izstrāde</t>
  </si>
  <si>
    <t>Digital tools design</t>
  </si>
  <si>
    <t>Attīstīt NEET jauniešu prasmes un veicināt to iesaisti izglītībā, NVA īstenotajos pasākumos jauniešu garantijas ietvaros un nevalstisko organizāciju vai jauniešu centru darbībā.</t>
  </si>
  <si>
    <t>Atbalsts NEET jauniešu (jaunietis, kas nav iesaistīts ne nodarbinātībā, ne izglītībā, ne mācībās) sasniegšanas un uzrunāšanas aktivitātēm un informēšanas pasākumiem. NEET jauniešu profilēšana un individuālo pasākumu programmu izstrāde, īstenošana un uzraudzība. NEET jauniešu motivēšana, aktivizēšana un atbalsta sniegšana saskaņā ar mērķa grupas jaunieša individuālo pasākumu programmu. Metodoloģiska atbalsta sniegšana sadarbības partneriem, t.i. pašvaldībām, un projekta saturiskās kvalitātes nodrošināšana un uzraudzība visos projekta īstenošanas posmos. Konsultāciju sniegšana programmu vadītājiem un NEET jauniešu mentoriem.</t>
  </si>
  <si>
    <t>NEET jauniešu prasmju attīstīšana</t>
  </si>
  <si>
    <t>To increase NEET youth’s skills and promote their
involvement into education, measures implemented by SEA within the framework of Youth Guarantee, and NGOs or youth centres</t>
  </si>
  <si>
    <t>Dalība starptautiskos  pētījumos</t>
  </si>
  <si>
    <t>Starptautiskie pētījumi</t>
  </si>
  <si>
    <t xml:space="preserve">Participation in international research/studies </t>
  </si>
  <si>
    <t>International researches</t>
  </si>
  <si>
    <t xml:space="preserve"> Subsidētās darbavietas nelabvēlīgākā situācijā esošiem bezdarbniekiem</t>
  </si>
  <si>
    <t>Subsidized employment for disadvantaged unemployed</t>
  </si>
  <si>
    <t>Vocational rehabilitation</t>
  </si>
  <si>
    <r>
      <t xml:space="preserve">Funkcionēšanas novērtēšanas sistēmas izveide un ieviešana un asistīvo tehnoloģiju (tehnisko palīglīdzekļu) pieejamības un pielietojuma Latvijas izglītības iestādēs izpēte </t>
    </r>
    <r>
      <rPr>
        <sz val="14"/>
        <color rgb="FF0070C0"/>
        <rFont val="Times New Roman"/>
        <family val="1"/>
        <charset val="186"/>
      </rPr>
      <t>(Iepriekš: Funkcionēšanas novērtēšanas un asistīvo tehnoloģiju (tehnisko palīglīdzekļu) apmaiņas sistēmas izveide un ieviešana)</t>
    </r>
  </si>
  <si>
    <t>Funkcionēšanas novērtēšana un tehnisko palīglīdzekļu pieejamības izpēte</t>
  </si>
  <si>
    <t xml:space="preserve">Establishment and implementation of a functioning evaluation system and research on the accessibility and use of assistive technologies (technical aid tools) in Latvian educational institutions </t>
  </si>
  <si>
    <t>Implementation of functioning evaluation system and  research on accessibility of assistive technologies in educational institutions</t>
  </si>
  <si>
    <t xml:space="preserve">Iekļaujoša darba tirgus un nabadzības risku pētījumi un monitorings. </t>
  </si>
  <si>
    <t>Iekļaujoša darba tirgus un nabadzības risku pētījumi</t>
  </si>
  <si>
    <t>Research and monitoring on the inclusive labour market and poverty risks</t>
  </si>
  <si>
    <t>Research on inclusive labour market and poverty risks</t>
  </si>
  <si>
    <t xml:space="preserve">Atbalsts speciālistiem darbam ar bērniem ar saskarsmes grūtībām, uzvedības traucējumiem un  vardarbību ģimenē </t>
  </si>
  <si>
    <r>
      <t xml:space="preserve">Atbalsts speciālistiem darbam ar bērniem ar uzvedības un </t>
    </r>
    <r>
      <rPr>
        <sz val="14"/>
        <rFont val="Times New Roman"/>
        <family val="1"/>
        <charset val="186"/>
      </rPr>
      <t>saskarsmes</t>
    </r>
    <r>
      <rPr>
        <sz val="14"/>
        <color theme="1"/>
        <rFont val="Times New Roman"/>
        <family val="1"/>
        <charset val="186"/>
      </rPr>
      <t xml:space="preserve"> traucējumiem</t>
    </r>
  </si>
  <si>
    <t xml:space="preserve">Support for specialists working with children who have   communication difficulties and behavioural disorders and working with cases of family violence. </t>
  </si>
  <si>
    <t>To increase the availability of social services at home equivalent to
the high-quality services of institutional care and availability of services close to family environment for children and people with disabilities</t>
  </si>
  <si>
    <t>Community-based social services for people with disabilities and services close to family environment for children</t>
  </si>
  <si>
    <t>Provision of community-based social services</t>
  </si>
  <si>
    <t>Ārstniecības personāla piesaiste veselības krīžu novēršanai</t>
  </si>
  <si>
    <t>Support for medical personnel ensuring treatment for patients to prevent public health crisis situations</t>
  </si>
  <si>
    <t>Attracting medical personnel to prevent health crises</t>
  </si>
  <si>
    <t xml:space="preserve">Infrastruktūra funkcionalitātes novērtēšanai </t>
  </si>
  <si>
    <r>
      <t xml:space="preserve">
</t>
    </r>
    <r>
      <rPr>
        <sz val="14"/>
        <rFont val="Times New Roman"/>
        <family val="1"/>
        <charset val="186"/>
      </rPr>
      <t>Development of infrastructure for the establishment of the functioning evaluation system</t>
    </r>
  </si>
  <si>
    <t xml:space="preserve">Infrastructure for functioning evaluation system </t>
  </si>
  <si>
    <t>Pasākumi Covid-19 pandēmijas seku mazināšanai (ERAF)</t>
  </si>
  <si>
    <t>Measures to mitigate the effects of the Covid-19 pandemic</t>
  </si>
  <si>
    <t>13.1.</t>
  </si>
  <si>
    <t>Pārvarēt Covid-19 pandēmiju un sagatavoties zaļai, digitālai un noturīgai ekonomikas atveseļošanai</t>
  </si>
  <si>
    <t>Overcoming the Covid-19 pandemic and the crisis associated with its social consequences and preparing for a green, digital and sustainable economic recovery</t>
  </si>
  <si>
    <t>Overcoming the Covid-19 pandemic and preparing for a green, digital and sustainable economic recovery</t>
  </si>
  <si>
    <t>Atveseļošanas pasākumi ekonomikas nozarē</t>
  </si>
  <si>
    <t>Economy recovery measures</t>
  </si>
  <si>
    <t>SME creation and development (financial instruments)</t>
  </si>
  <si>
    <t xml:space="preserve">SME Loans </t>
  </si>
  <si>
    <t>Atveseļošanas pasākumi izglītības un pētniecības nozarē (ERAF)</t>
  </si>
  <si>
    <t>Atveseļošanas pasākumi izglītības un pētniecības nozarē</t>
  </si>
  <si>
    <t>Education and research recovery measures</t>
  </si>
  <si>
    <t>Praktiskas ievirzes pētniecība</t>
  </si>
  <si>
    <t>Applied Research</t>
  </si>
  <si>
    <t>Izglītības iestāžu digitalizācija</t>
  </si>
  <si>
    <t>Digitalization of educational institutions</t>
  </si>
  <si>
    <t>Pašvaldību infrastruktūra energoefektivitāte</t>
  </si>
  <si>
    <t>Energy efficiency in municipal infrastructure to improve the economic situation</t>
  </si>
  <si>
    <t>Energy efficiency in municipal infrastructure</t>
  </si>
  <si>
    <t xml:space="preserve">Atkritumu atkārtota izmantošana </t>
  </si>
  <si>
    <t>Waste re-using, recycling and regeneration</t>
  </si>
  <si>
    <t>Reuse of waste</t>
  </si>
  <si>
    <t>Culture recovery measures</t>
  </si>
  <si>
    <t>Atveseļošanas pasākumi veselības nozarē (ERAF)</t>
  </si>
  <si>
    <t>Health sector recovery measures (ERDF)</t>
  </si>
  <si>
    <t>Atveseļošanas pasākumi ekonomikas nozarē - nodarbināto apmācības (ERAF)</t>
  </si>
  <si>
    <t>Atveseļošanas pasākumi - nodarbināto apmācības</t>
  </si>
  <si>
    <t>Recovery measures - employee training</t>
  </si>
  <si>
    <t>Employee training recovery measure</t>
  </si>
  <si>
    <t>14.</t>
  </si>
  <si>
    <t>Pasākumi Covid-19 pandēmijas seku mazināšanai (ESF)</t>
  </si>
  <si>
    <t>14.1.</t>
  </si>
  <si>
    <t>Palīdzēt veicināt ar Covid-19 pandēmiju un tās sociālajām sekām saistītās krīzes seku pārvarēšanu un sagatavoties zaļai, digitālai un noturīgai ekonomikas atveseļošanai (ESF)</t>
  </si>
  <si>
    <t>Mitigate effects of the crisis caused by Covid-19 pandemic and it's social implications, and prepare for a green, digital and resilient economic recovery (ESF)</t>
  </si>
  <si>
    <t>Atveseļošanas pasākumi izglītības nozarē (ESF)</t>
  </si>
  <si>
    <t>Education sector recovery measures (ESF)</t>
  </si>
  <si>
    <t>Ensuring better governance in HEI</t>
  </si>
  <si>
    <t>Atbalsts NEET jauniešiem</t>
  </si>
  <si>
    <t>Support for NEET youth</t>
  </si>
  <si>
    <t>Atveseļošanas pasākumi labklājības jomā (ESF)</t>
  </si>
  <si>
    <t>Welfare sector recovery measures – active labour market policies (ESF)</t>
  </si>
  <si>
    <t>Welfare sector recovery measures (ESF)</t>
  </si>
  <si>
    <t>Atveseļošanas pasākumi veselības nozarē (ESF)</t>
  </si>
  <si>
    <t>Health sector recovery measures (ESF)</t>
  </si>
  <si>
    <t>13.1.5</t>
  </si>
  <si>
    <t>13.1.6</t>
  </si>
  <si>
    <t>14.1.1</t>
  </si>
  <si>
    <t>13.1.1</t>
  </si>
  <si>
    <t>13.1.2</t>
  </si>
  <si>
    <t>14.1.2</t>
  </si>
  <si>
    <t>14.1.3</t>
  </si>
  <si>
    <t>2.1.3</t>
  </si>
  <si>
    <t>Informācija sagatavota 10.11.2017.
Informācija aktualizēta 05.10.2021.</t>
  </si>
  <si>
    <t>Saistītie SAMP</t>
  </si>
  <si>
    <t>ReactEU ESF</t>
  </si>
  <si>
    <t>Atbalsts ārstniecības personām, kas nodrošina pacientu ārstēšanu sabiedrības veselības  krīžu situāciju novēršanai un atveseļošanas pasākumi veselības nozarē (14.1.3. SAM)</t>
  </si>
  <si>
    <t>React EU ESF</t>
  </si>
  <si>
    <t>Bez MKN</t>
  </si>
  <si>
    <t>MVU aizdevumi</t>
  </si>
  <si>
    <t>8.3.3.</t>
  </si>
  <si>
    <t>8.2.3.</t>
  </si>
  <si>
    <t>Aizdevumi sīko (mikro), mazo un vidējo saimnieciskās darbības veicēju attīstībai un Aizdevumi sīko (mikro), mazo un vidējo saimnieciskās darbības veicēju attīstības veicināšanai (13.1.1.1. SAMP)</t>
  </si>
  <si>
    <t>Attīstīt NEET jauniešu prasmes un veicināt to iesaisti izglītībā, NVA īstenotajos pasākumos Jauniešu garantijas ietvaros un nevalstisko organizāciju vai jauniešu centru darbībā un Atbalsts NEET jauniešiem (14.1.1.2. SAMP)</t>
  </si>
  <si>
    <t>Pārbaudei grafikā labajā pusē virssaistību summu</t>
  </si>
  <si>
    <t>grafikam</t>
  </si>
  <si>
    <t>Par cik pārsniegtas līgumu summas bez virssaistībām (šobrīd netiek izmantots grafikā)</t>
  </si>
  <si>
    <t>MKN groz. 25.01.22. MK</t>
  </si>
  <si>
    <t>Pētījums sabiedriskā transporta plānam Rīgas metropoles areālā</t>
  </si>
  <si>
    <t>FI  3.1.1.1, 3.1.1.2, 3.1.1.4, 3.1.1.7, 3.1.2.1, 3.1.2.2</t>
  </si>
  <si>
    <t>Pētījumu, novērtējumu un saistītās dokumentācijas izstrāde ilgtspējīga, integrēta un koordinēta multimodāla sabiedriskā transporta plāna priekšlikuma sagatavošanai Rīgas metropoles areālā</t>
  </si>
  <si>
    <t>Palielināt sociālās atstumtības riskam pakļauto mērķa grupu, tostarp bezdarbnieku, tai skaitā nelabvēlīgākā situācijā esošu bezdarbnieku, iekļaušanos darba tirgū</t>
  </si>
  <si>
    <t>Apstiprināts 11.01.2022. MK sēdē</t>
  </si>
  <si>
    <t>Apstiprināts 14.12.2021. MK sēdē</t>
  </si>
  <si>
    <t>9.3.1.3</t>
  </si>
  <si>
    <t>Sabiedrībā balstītu sociālo pakalpojumu infrastruktūras attīstība Rīgas valstspilsētā</t>
  </si>
  <si>
    <t>7.1.1.</t>
  </si>
  <si>
    <t>Paaugstināt bezdarbnieku kvalifikāciju un prasmes atbilstoši darba tirgus pieprasījumam un Atveseļošanas pasākumi labklājības jomā  (14.1.2. SAM)</t>
  </si>
  <si>
    <t>Atveseļošanas pasākumi ekonomikas nozarē – nodarbināto apmācības (ERAF)</t>
  </si>
  <si>
    <t>1.2.2.3.</t>
  </si>
  <si>
    <t>Atbalsts IKT un netehnoloģiskām apmācībām, kā arī apmācībā, lai sekmētu investoru piesaisti un Atveseļošanas pasākumi ekonomikas nozarē - nodarbināto apmācības (ERAF) (13.1.6. SAM)</t>
  </si>
  <si>
    <t>1.1.1.1.</t>
  </si>
  <si>
    <r>
      <t xml:space="preserve">Piešķirtais ES fondu finansējums (milj. </t>
    </r>
    <r>
      <rPr>
        <b/>
        <i/>
        <sz val="14"/>
        <color theme="1"/>
        <rFont val="Calibri"/>
        <family val="2"/>
        <charset val="186"/>
        <scheme val="minor"/>
      </rPr>
      <t>euro</t>
    </r>
    <r>
      <rPr>
        <b/>
        <sz val="14"/>
        <color theme="1"/>
        <rFont val="Calibri"/>
        <family val="2"/>
        <charset val="186"/>
        <scheme val="minor"/>
      </rPr>
      <t xml:space="preserve">), </t>
    </r>
    <r>
      <rPr>
        <b/>
        <sz val="14"/>
        <color rgb="FFFF0000"/>
        <rFont val="Calibri"/>
        <family val="2"/>
        <charset val="186"/>
        <scheme val="minor"/>
      </rPr>
      <t>izmanto, lai pārbaudītu grafika labajā pusē kopējā piešķīruma ciparus (Fondu piešķīrums*) Vecā kolonna, vairs neizmantot</t>
    </r>
  </si>
  <si>
    <t>6) Negatīva vērtība saistīta ar plānotajiem DP grozījumiem Nr.8. (EK lēmums par REACT 2.pārskaitījumu un pāreja uz 100% likmi. Daļu no pieejamā finansējuma ar DP grozījumiem plānots aizstāt ar virssaistību finansējumu)</t>
  </si>
  <si>
    <t>Piešķīrums bez MKN (tiks virzīti MKN grozījumi)*</t>
  </si>
  <si>
    <t>N/A</t>
  </si>
  <si>
    <t xml:space="preserve">DP grozījumos Nr.8. ieplānotais REACT-EU fondu finansējums </t>
  </si>
  <si>
    <t>* Ar (-) norādītais piešķīrums bez MKN nozīmē, ka MKN ir iegrozīts sākotnēji plānotais REACT-EU fondu finansējums, bet pēc EK lēmuma par pieejamo 2022.gada finansējumu tas ir jāsamazina. Starpība tiek kompensēta no VB, kas šajā tabulā neparādās.</t>
  </si>
  <si>
    <t>3.1.1.1. un 3.1.1.7</t>
  </si>
  <si>
    <t>3.1.1.1. un 3.1.1.7.</t>
  </si>
  <si>
    <t>13.1.1.4</t>
  </si>
  <si>
    <t>Atveseļošanas pasākumi ekonomikas nozarē - Reģionālie biznesa inkubatori un radošo industriju inkubators</t>
  </si>
  <si>
    <t>13.1.1.3</t>
  </si>
  <si>
    <t>Atveseļošanas pasākumi ekonomikas nozarē" 13.1.1.3. pasākuma "Atveseļošanas pasākumi ekonomikas nozarē – Starptautiskās konkurētspējas veicināšana</t>
  </si>
  <si>
    <t>1.2.2.1 / 1.2.2.3.</t>
  </si>
  <si>
    <t>Reģionālie biznesa inkubatori un radošo industriju inkubators un Atveseļošanas pasākumi ekonomikas nozarē – Reģionālie biznesa inkubatori un radošo industriju inkubators" (13.1.1.4. SAMP)</t>
  </si>
  <si>
    <t>Starptautiskās konkurētspējas veicināšana un Atveseļošanas pasākumi ekonomikas nozarē - Starptautiskās konkurētspējas veicināšana (13.1.1.3. SAMP)</t>
  </si>
  <si>
    <t>no 5.4.3.2. tika atbrīvots finansējums, ko nav plānots piesaistīt nevienam VARAM KF SAM</t>
  </si>
  <si>
    <t>Atbalsts nodarbināto apmācībām un Atveseļošanas pasākumi ekonomikas nozarē – nodarbināto apmācības (ERAF) (13.1.6. SAM)</t>
  </si>
  <si>
    <t>Apstiprināts 15.11.2022. MK sēdē</t>
  </si>
  <si>
    <t>3.2.1.2.</t>
  </si>
  <si>
    <t>3.1.1.6.</t>
  </si>
  <si>
    <t>8.2.3. MKN groz 17.01.23. atbisltoši DP groz Nr.8</t>
  </si>
  <si>
    <t>Groz. apstiprināti 31.01.2023. MK sēdē</t>
  </si>
  <si>
    <t>Atbalsts speciālistiem darbam ar bērniem ar saskarsmes grūtībām un uzvedības traucējumiem un vardarbību ģimenē</t>
  </si>
  <si>
    <t>Palīdzēt veicināt ar Covid-19 pandēmiju un tās sociālajām sekām saistītās krīzes seku pārvarēšanu un sagatavoties zaļai, digitālai un noturīgai ekonomikas atveseļošanai (ERAF)</t>
  </si>
  <si>
    <t>Atveseļošanas pasākumi izglītības nozarē (ESF) (SAM 8.2.3)</t>
  </si>
  <si>
    <t>Atveseļošanas pasākumi izglītības nozarē (ESF) (SAM 8.3.3)</t>
  </si>
  <si>
    <t>8.3.1.1.pasākumā atbrīvotais finansējumu plānots virzīt uz 8.3.2.2.pasākumu un 13.1.5.SAM</t>
  </si>
  <si>
    <t>7) Pasākumos, kuros projekti tiek daļēji finansēti no REACT EU fiansējuma, bet daļēji no ERAF vai ESF, react EU finansējuma daļa ir norādīta pie REACT EU pasākuma (zem 13. vai 14.PV), bet projektu skaits pie atbilstošā ERAF vai ESF pasākuma (zem 1.-9.PV)</t>
  </si>
  <si>
    <t xml:space="preserve">8.2.2. SAM </t>
  </si>
  <si>
    <t>Tiks novirzīts uz 8.3.2.2 pasākumu, grozījumi TAP procesā</t>
  </si>
  <si>
    <t>Apstiprināts 22.08.2022. MK sēdē</t>
  </si>
  <si>
    <t>MKN groz.03.10.2023.MK</t>
  </si>
  <si>
    <t>10.10.2023. MKN grozījumi, no 8.4.1. SAM atbrīvotā finansējuma pārdalot papildu finansējumu, tai skaitā ESF finansējums 212 500 EUR.</t>
  </si>
  <si>
    <t>8.4.1.</t>
  </si>
  <si>
    <t>Pieaugušo izglītība</t>
  </si>
  <si>
    <t>No 8.4.1.SAM atbrīvotais finansējums 1 500 000 apmērā (ESF 1 275 001 un VB 224 999) tika pārdalīts uz 8.5.1.SAM (ESF 383 795 un VB  67 728 ), uz 8.3.2.2.pasākumu (ESF 212 500 un VB 37 500) un plānots pārdalīt uz 8.3.6.1.pasākumu(ESF 103 642 un VB 18 920) (noteikumu projekts saskaņošanā TAP). Nesadalītais atlikums ESF 575 064 apmērā rezervēts citiem mērķiem 8 PV ietvaros.</t>
  </si>
  <si>
    <t>Tiks novirzīts 8 PV mērķiem</t>
  </si>
  <si>
    <t>8.3.6.1.</t>
  </si>
  <si>
    <t>Izglītības kvalitātes monitorinaga sistēma</t>
  </si>
  <si>
    <t>8.4.1.SAM atbrīvotais finansējums</t>
  </si>
  <si>
    <t>8.3.6.1. MKN TAP saskaņošanā</t>
  </si>
  <si>
    <t>Apstiprināts 21.11.2023. MK sēdē</t>
  </si>
  <si>
    <t>Augstākās izglītības pārvaldība</t>
  </si>
  <si>
    <t>NO 8.2.3.SAM atbrīvotais finansējums 240 163 (ESF 204 139) nav plānots novirzīt citiem mērķiem</t>
  </si>
  <si>
    <t>8.2.3.SAM atbrīvots finansējums</t>
  </si>
  <si>
    <t>Apstiprināts MK</t>
  </si>
  <si>
    <t>MKN groz. 29.11.2023.</t>
  </si>
  <si>
    <t>MKN grozījumi 29.11.2023.</t>
  </si>
  <si>
    <t>15.1.1</t>
  </si>
  <si>
    <t>Atbalsta pasākumi centralizētās siltumapgādes jomā</t>
  </si>
  <si>
    <t>15.</t>
  </si>
  <si>
    <t>Pasākumi Krievijas Federācijas militārās agresijas seku mazināšanai (enerģētika)</t>
  </si>
  <si>
    <t>4.3.1.</t>
  </si>
  <si>
    <t>no 6.2.1.2. atbrīvots KF finansējums virssiatsību daļējai kompensēšanai</t>
  </si>
  <si>
    <t xml:space="preserve">EM </t>
  </si>
  <si>
    <t>Viedās administrācijas un reģionālās attīstības ministrija</t>
  </si>
  <si>
    <t>No EK saņemtie ES fondu maksājumi, EUR  uz 31.08.2025.</t>
  </si>
  <si>
    <r>
      <rPr>
        <b/>
        <sz val="10"/>
        <color rgb="FF000000"/>
        <rFont val="Arial"/>
      </rPr>
      <t>*</t>
    </r>
    <r>
      <rPr>
        <sz val="10"/>
        <color rgb="FF000000"/>
        <rFont val="Arial"/>
      </rPr>
      <t xml:space="preserve"> Progress, procentpunkti (3.2., 4.2., 5.2. un 6.2. kolonas) tiek aprēķināts kā starpība starp iepriekšējā perioda procentu no piešķīruma un kārtējā perioda procentu no piešķīruma (3.1.,4.1.,5.1. un 6.1. kolonu vērtības). Piemēram, līdz janvāra beigām tika noslēgti līgumi par 20% no piešķirtā finansējuma, bet februārī noslēgto līgumu apjoms sasniedza 25% no piešķirtā finansējuma. </t>
    </r>
    <r>
      <rPr>
        <b/>
        <sz val="10"/>
        <color rgb="FF000000"/>
        <rFont val="Arial"/>
      </rPr>
      <t>Progress procentpunktos ir 25%-20%=5%.</t>
    </r>
    <r>
      <rPr>
        <sz val="10"/>
        <color rgb="FF000000"/>
        <rFont val="Arial"/>
      </rPr>
      <t xml:space="preserve">
</t>
    </r>
    <r>
      <rPr>
        <b/>
        <sz val="10"/>
        <color rgb="FF000000"/>
        <rFont val="Arial"/>
      </rPr>
      <t>**</t>
    </r>
    <r>
      <rPr>
        <sz val="10"/>
        <color rgb="FF000000"/>
        <rFont val="Arial"/>
      </rPr>
      <t xml:space="preserve"> Progresa dinamika (3.3., 4.3., 5.3. un 6.3. kolonas) tiek aprēķināta kā starpība starp kārtējā un iepriekšējā perioda vērtībām dalīta uz iepriekšējā perioda vērtību, pēc būtības tas ir pieaugums, salīdzinot ar iepriekšējo periodu. Piemēram, līdz janvāra beigām tika noslēgti līgumi par 100 milj. euro, bet februārī noslēgto līgumu apjoms sasniedza 150 milj. euro. </t>
    </r>
    <r>
      <rPr>
        <b/>
        <sz val="10"/>
        <color rgb="FF000000"/>
        <rFont val="Arial"/>
      </rPr>
      <t>Progresa dinamika ir (150-100)/100=0,5, jeb 50%.</t>
    </r>
    <r>
      <rPr>
        <sz val="10"/>
        <color rgb="FF000000"/>
        <rFont val="Arial"/>
      </rPr>
      <t xml:space="preserve"> Pieaugums salīdzinot ar iepriekšējo periodu, jeb progresa dinamika, ir 50%. </t>
    </r>
  </si>
  <si>
    <t>30.11.2025</t>
  </si>
  <si>
    <t>Sagatavots 15.01.2026.</t>
  </si>
  <si>
    <t>31.12.2025</t>
  </si>
  <si>
    <t>15.01.2026 12:04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</si>
</sst>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0.0%"/>
    <numFmt numFmtId="165" formatCode="[$-10409]###\ ###\ ###\ ###\ ##0"/>
    <numFmt numFmtId="166" formatCode="[$-10409]0.00%"/>
  </numFmts>
  <fonts count="80" x14ac:knownFonts="1">
    <font>
      <sz val="11"/>
      <color theme="1"/>
      <name val="Calibri"/>
      <family val="2"/>
      <scheme val="minor"/>
    </font>
    <font>
      <b/>
      <sz val="14"/>
      <color theme="1"/>
      <name val="Times New Roman"/>
      <family val="1"/>
      <charset val="186"/>
    </font>
    <font>
      <sz val="14"/>
      <color theme="1"/>
      <name val="Times New Roman"/>
      <family val="1"/>
      <charset val="186"/>
    </font>
    <font>
      <b/>
      <sz val="20"/>
      <color theme="1"/>
      <name val="Times New Roman"/>
      <family val="1"/>
      <charset val="186"/>
    </font>
    <font>
      <b/>
      <sz val="13"/>
      <name val="Times New Roman"/>
      <family val="1"/>
      <charset val="204"/>
    </font>
    <font>
      <b/>
      <sz val="14"/>
      <name val="Times New Roman"/>
      <family val="1"/>
      <charset val="204"/>
    </font>
    <font>
      <b/>
      <sz val="14"/>
      <name val="Times New Roman"/>
      <family val="1"/>
      <charset val="186"/>
    </font>
    <font>
      <sz val="14"/>
      <color theme="1" tint="0.499984740745262"/>
      <name val="Times New Roman"/>
      <family val="1"/>
      <charset val="186"/>
    </font>
    <font>
      <sz val="14"/>
      <color theme="0" tint="-0.14999847407452621"/>
      <name val="Times New Roman"/>
      <family val="1"/>
      <charset val="186"/>
    </font>
    <font>
      <sz val="14"/>
      <color theme="0"/>
      <name val="Franklin Gothic Demi"/>
      <family val="2"/>
      <charset val="186"/>
    </font>
    <font>
      <sz val="12"/>
      <color theme="0"/>
      <name val="Franklin Gothic Demi"/>
      <family val="2"/>
      <charset val="186"/>
    </font>
    <font>
      <i/>
      <sz val="14"/>
      <color theme="1"/>
      <name val="Times New Roman"/>
      <family val="1"/>
      <charset val="186"/>
    </font>
    <font>
      <b/>
      <sz val="16"/>
      <color rgb="FF000000"/>
      <name val="Times New Roman"/>
      <family val="1"/>
      <charset val="186"/>
    </font>
    <font>
      <sz val="10"/>
      <name val="Times New Roman"/>
      <family val="1"/>
    </font>
    <font>
      <b/>
      <sz val="12"/>
      <name val="Times New Roman"/>
      <family val="1"/>
      <charset val="186"/>
    </font>
    <font>
      <b/>
      <sz val="10"/>
      <name val="Times New Roman"/>
      <family val="1"/>
      <charset val="186"/>
    </font>
    <font>
      <b/>
      <sz val="11"/>
      <name val="Times New Roman"/>
      <family val="1"/>
      <charset val="186"/>
    </font>
    <font>
      <b/>
      <sz val="12"/>
      <color theme="3"/>
      <name val="Times New Roman"/>
      <family val="1"/>
    </font>
    <font>
      <b/>
      <sz val="12"/>
      <color theme="0"/>
      <name val="Times New Roman"/>
      <family val="1"/>
      <charset val="186"/>
    </font>
    <font>
      <u/>
      <sz val="11"/>
      <color theme="10"/>
      <name val="Calibri"/>
      <family val="2"/>
      <scheme val="minor"/>
    </font>
    <font>
      <i/>
      <u/>
      <sz val="8"/>
      <color theme="10"/>
      <name val="Times New Roman"/>
      <family val="1"/>
      <charset val="186"/>
    </font>
    <font>
      <sz val="12"/>
      <color theme="1"/>
      <name val="Times New Roman"/>
      <family val="1"/>
      <charset val="186"/>
    </font>
    <font>
      <b/>
      <sz val="12"/>
      <color theme="1"/>
      <name val="Times New Roman"/>
      <family val="1"/>
      <charset val="186"/>
    </font>
    <font>
      <b/>
      <sz val="16"/>
      <color theme="1"/>
      <name val="Times New Roman"/>
      <family val="1"/>
      <charset val="186"/>
    </font>
    <font>
      <b/>
      <i/>
      <sz val="12"/>
      <color theme="1" tint="0.34998626667073579"/>
      <name val="Times New Roman"/>
      <family val="1"/>
      <charset val="186"/>
    </font>
    <font>
      <b/>
      <sz val="11"/>
      <color theme="1"/>
      <name val="Calibri"/>
      <family val="2"/>
      <scheme val="minor"/>
    </font>
    <font>
      <sz val="11"/>
      <color theme="1"/>
      <name val="Calibri"/>
      <family val="2"/>
      <scheme val="minor"/>
    </font>
    <font>
      <sz val="14"/>
      <name val="Times New Roman"/>
      <family val="1"/>
      <charset val="186"/>
    </font>
    <font>
      <i/>
      <sz val="14"/>
      <name val="Times New Roman"/>
      <family val="1"/>
      <charset val="186"/>
    </font>
    <font>
      <b/>
      <sz val="11"/>
      <color theme="0"/>
      <name val="Times New Roman"/>
      <family val="1"/>
      <charset val="186"/>
    </font>
    <font>
      <b/>
      <sz val="10"/>
      <color theme="0"/>
      <name val="Times New Roman"/>
      <family val="1"/>
      <charset val="186"/>
    </font>
    <font>
      <sz val="12"/>
      <name val="Times New Roman"/>
      <family val="1"/>
      <charset val="186"/>
    </font>
    <font>
      <b/>
      <sz val="16"/>
      <color theme="8" tint="-0.499984740745262"/>
      <name val="Times New Roman"/>
      <family val="1"/>
      <charset val="186"/>
    </font>
    <font>
      <sz val="14"/>
      <color rgb="FF000000"/>
      <name val="Times New Roman"/>
      <family val="1"/>
      <charset val="186"/>
    </font>
    <font>
      <strike/>
      <sz val="14"/>
      <name val="Times New Roman"/>
      <family val="1"/>
      <charset val="186"/>
    </font>
    <font>
      <sz val="16"/>
      <color theme="1"/>
      <name val="Times New Roman"/>
      <family val="1"/>
      <charset val="186"/>
    </font>
    <font>
      <sz val="16"/>
      <name val="Times New Roman"/>
      <family val="1"/>
      <charset val="186"/>
    </font>
    <font>
      <sz val="16"/>
      <color theme="1" tint="0.499984740745262"/>
      <name val="Times New Roman"/>
      <family val="1"/>
      <charset val="186"/>
    </font>
    <font>
      <b/>
      <sz val="16"/>
      <name val="Times New Roman"/>
      <family val="1"/>
      <charset val="186"/>
    </font>
    <font>
      <b/>
      <vertAlign val="superscript"/>
      <sz val="13"/>
      <name val="Times New Roman"/>
      <family val="1"/>
      <charset val="186"/>
    </font>
    <font>
      <sz val="10"/>
      <color rgb="FF000000"/>
      <name val="Arial"/>
      <family val="2"/>
      <charset val="186"/>
    </font>
    <font>
      <sz val="8"/>
      <color rgb="FF000000"/>
      <name val="Arial"/>
      <family val="2"/>
      <charset val="186"/>
    </font>
    <font>
      <sz val="8"/>
      <color rgb="FF25396E"/>
      <name val="Arial"/>
      <family val="2"/>
      <charset val="186"/>
    </font>
    <font>
      <b/>
      <sz val="8"/>
      <color rgb="FF0B428E"/>
      <name val="Arial"/>
      <family val="2"/>
      <charset val="186"/>
    </font>
    <font>
      <sz val="8"/>
      <color rgb="FF000000"/>
      <name val="Tahoma"/>
      <family val="2"/>
      <charset val="186"/>
    </font>
    <font>
      <b/>
      <sz val="8"/>
      <color rgb="FF000000"/>
      <name val="Tahoma"/>
      <family val="2"/>
      <charset val="186"/>
    </font>
    <font>
      <sz val="18"/>
      <color rgb="FF000000"/>
      <name val="Tahoma"/>
      <family val="2"/>
      <charset val="186"/>
    </font>
    <font>
      <sz val="9"/>
      <color indexed="81"/>
      <name val="Tahoma"/>
      <family val="2"/>
      <charset val="186"/>
    </font>
    <font>
      <b/>
      <sz val="9"/>
      <color indexed="81"/>
      <name val="Tahoma"/>
      <family val="2"/>
      <charset val="186"/>
    </font>
    <font>
      <sz val="14"/>
      <color rgb="FFFF0000"/>
      <name val="Times New Roman"/>
      <family val="1"/>
      <charset val="186"/>
    </font>
    <font>
      <strike/>
      <sz val="14"/>
      <color theme="1"/>
      <name val="Times New Roman"/>
      <family val="1"/>
      <charset val="186"/>
    </font>
    <font>
      <sz val="14"/>
      <color indexed="81"/>
      <name val="Tahoma"/>
      <family val="2"/>
      <charset val="186"/>
    </font>
    <font>
      <sz val="14"/>
      <color rgb="FF414142"/>
      <name val="Times New Roman"/>
      <family val="1"/>
      <charset val="186"/>
    </font>
    <font>
      <sz val="12"/>
      <color theme="1"/>
      <name val="Calibri"/>
      <family val="2"/>
      <scheme val="minor"/>
    </font>
    <font>
      <b/>
      <sz val="11"/>
      <color theme="1"/>
      <name val="Calibri"/>
      <family val="2"/>
      <charset val="186"/>
      <scheme val="minor"/>
    </font>
    <font>
      <b/>
      <sz val="14"/>
      <color theme="1"/>
      <name val="Calibri"/>
      <family val="2"/>
      <charset val="186"/>
      <scheme val="minor"/>
    </font>
    <font>
      <sz val="14"/>
      <color theme="1"/>
      <name val="Calibri"/>
      <family val="2"/>
      <charset val="186"/>
      <scheme val="minor"/>
    </font>
    <font>
      <sz val="14"/>
      <color theme="1"/>
      <name val="Times New Roman"/>
      <family val="2"/>
      <charset val="186"/>
    </font>
    <font>
      <i/>
      <sz val="14"/>
      <color theme="1"/>
      <name val="Times New Roman"/>
      <family val="2"/>
      <charset val="186"/>
    </font>
    <font>
      <i/>
      <sz val="14"/>
      <color theme="1"/>
      <name val="Calibri"/>
      <family val="2"/>
      <charset val="186"/>
      <scheme val="minor"/>
    </font>
    <font>
      <i/>
      <sz val="14"/>
      <color rgb="FFFF0000"/>
      <name val="Calibri"/>
      <family val="2"/>
      <charset val="186"/>
      <scheme val="minor"/>
    </font>
    <font>
      <b/>
      <i/>
      <sz val="14"/>
      <color theme="1"/>
      <name val="Calibri"/>
      <family val="2"/>
      <charset val="186"/>
      <scheme val="minor"/>
    </font>
    <font>
      <sz val="18"/>
      <color theme="1"/>
      <name val="Times New Roman"/>
      <family val="2"/>
      <charset val="186"/>
    </font>
    <font>
      <b/>
      <sz val="18"/>
      <color theme="1"/>
      <name val="Calibri"/>
      <family val="2"/>
      <charset val="186"/>
      <scheme val="minor"/>
    </font>
    <font>
      <b/>
      <sz val="20"/>
      <color theme="1"/>
      <name val="Calibri"/>
      <family val="2"/>
      <charset val="186"/>
      <scheme val="minor"/>
    </font>
    <font>
      <b/>
      <sz val="14"/>
      <color rgb="FFFF0000"/>
      <name val="Calibri"/>
      <family val="2"/>
      <charset val="186"/>
      <scheme val="minor"/>
    </font>
    <font>
      <sz val="12"/>
      <color theme="1"/>
      <name val="Calibri"/>
      <family val="2"/>
      <charset val="186"/>
      <scheme val="minor"/>
    </font>
    <font>
      <sz val="14"/>
      <color rgb="FF1F497D"/>
      <name val="Times New Roman"/>
      <family val="1"/>
      <charset val="186"/>
    </font>
    <font>
      <sz val="14"/>
      <color rgb="FF0070C0"/>
      <name val="Times New Roman"/>
      <family val="1"/>
      <charset val="186"/>
    </font>
    <font>
      <sz val="8"/>
      <name val="Calibri"/>
      <family val="2"/>
      <scheme val="minor"/>
    </font>
    <font>
      <b/>
      <sz val="12"/>
      <color theme="1"/>
      <name val="Calibri"/>
      <family val="2"/>
      <charset val="186"/>
      <scheme val="minor"/>
    </font>
    <font>
      <sz val="11"/>
      <color theme="1"/>
      <name val="Times New Roman"/>
      <family val="1"/>
      <charset val="186"/>
    </font>
    <font>
      <sz val="11"/>
      <name val="Times New Roman"/>
      <family val="1"/>
      <charset val="186"/>
    </font>
    <font>
      <sz val="20"/>
      <color theme="1"/>
      <name val="Calibri"/>
      <family val="2"/>
      <scheme val="minor"/>
    </font>
    <font>
      <b/>
      <sz val="12"/>
      <color rgb="FF000000"/>
      <name val="Arial"/>
    </font>
    <font>
      <sz val="11"/>
      <name val="Calibri"/>
    </font>
    <font>
      <b/>
      <sz val="11"/>
      <color rgb="FF000000"/>
      <name val="Calibri"/>
    </font>
    <font>
      <b/>
      <sz val="10"/>
      <color rgb="FF000000"/>
      <name val="Arial"/>
    </font>
    <font>
      <sz val="10"/>
      <color rgb="FF000000"/>
      <name val="Arial"/>
    </font>
    <font>
      <sz val="11"/>
      <color rgb="FF000000"/>
      <name val="Calibri"/>
      <family val="2"/>
      <scheme val="minor"/>
    </font>
  </fonts>
  <fills count="25">
    <fill>
      <patternFill patternType="none"/>
    </fill>
    <fill>
      <patternFill patternType="gray125"/>
    </fill>
    <fill>
      <patternFill patternType="solid">
        <fgColor theme="8"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theme="4"/>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rgb="FFADD8E6"/>
        <bgColor rgb="FFADD8E6"/>
      </patternFill>
    </fill>
    <fill>
      <patternFill patternType="solid">
        <fgColor rgb="FFB0C4DE"/>
        <bgColor rgb="FFB0C4DE"/>
      </patternFill>
    </fill>
    <fill>
      <patternFill patternType="solid">
        <fgColor rgb="FF92D050"/>
        <bgColor indexed="64"/>
      </patternFill>
    </fill>
    <fill>
      <patternFill patternType="solid">
        <fgColor theme="5" tint="0.39997558519241921"/>
        <bgColor indexed="64"/>
      </patternFill>
    </fill>
    <fill>
      <patternFill patternType="solid">
        <fgColor rgb="FFFFFFFF"/>
      </patternFill>
    </fill>
    <fill>
      <patternFill patternType="solid">
        <fgColor rgb="FFDFDFDF"/>
      </patternFill>
    </fill>
    <fill>
      <patternFill patternType="solid">
        <fgColor rgb="FFFFFF00"/>
        <bgColor indexed="64"/>
      </patternFill>
    </fill>
    <fill>
      <patternFill patternType="solid">
        <fgColor theme="7"/>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FFC000"/>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000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medium">
        <color theme="0"/>
      </left>
      <right style="thin">
        <color theme="0"/>
      </right>
      <top style="medium">
        <color theme="0"/>
      </top>
      <bottom style="thin">
        <color theme="0"/>
      </bottom>
      <diagonal/>
    </border>
    <border>
      <left style="thin">
        <color theme="0"/>
      </left>
      <right style="medium">
        <color theme="0"/>
      </right>
      <top style="medium">
        <color theme="0"/>
      </top>
      <bottom style="thin">
        <color theme="0"/>
      </bottom>
      <diagonal/>
    </border>
    <border>
      <left style="medium">
        <color theme="0"/>
      </left>
      <right style="thin">
        <color theme="0"/>
      </right>
      <top style="thin">
        <color theme="0"/>
      </top>
      <bottom style="thin">
        <color theme="0"/>
      </bottom>
      <diagonal/>
    </border>
    <border>
      <left style="thin">
        <color theme="0"/>
      </left>
      <right style="medium">
        <color theme="0"/>
      </right>
      <top style="thin">
        <color theme="0"/>
      </top>
      <bottom style="thin">
        <color theme="0"/>
      </bottom>
      <diagonal/>
    </border>
    <border>
      <left style="medium">
        <color theme="0"/>
      </left>
      <right style="medium">
        <color theme="0"/>
      </right>
      <top style="medium">
        <color theme="0"/>
      </top>
      <bottom style="thin">
        <color theme="0"/>
      </bottom>
      <diagonal/>
    </border>
    <border>
      <left style="medium">
        <color theme="0"/>
      </left>
      <right style="medium">
        <color theme="0"/>
      </right>
      <top style="thin">
        <color theme="0"/>
      </top>
      <bottom style="thin">
        <color theme="0"/>
      </bottom>
      <diagonal/>
    </border>
    <border>
      <left style="thin">
        <color theme="0"/>
      </left>
      <right/>
      <top style="medium">
        <color theme="0"/>
      </top>
      <bottom style="thin">
        <color theme="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indexed="64"/>
      </left>
      <right style="medium">
        <color indexed="64"/>
      </right>
      <top style="medium">
        <color indexed="64"/>
      </top>
      <bottom style="thin">
        <color indexed="64"/>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medium">
        <color indexed="64"/>
      </left>
      <right style="thin">
        <color theme="1" tint="0.499984740745262"/>
      </right>
      <top style="thin">
        <color theme="1" tint="0.499984740745262"/>
      </top>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diagonal/>
    </border>
    <border>
      <left style="thin">
        <color theme="1" tint="0.499984740745262"/>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medium">
        <color indexed="64"/>
      </right>
      <top style="medium">
        <color indexed="64"/>
      </top>
      <bottom style="thin">
        <color theme="1"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style="thin">
        <color theme="0"/>
      </right>
      <top style="medium">
        <color theme="0"/>
      </top>
      <bottom/>
      <diagonal/>
    </border>
    <border>
      <left style="medium">
        <color theme="0"/>
      </left>
      <right style="thin">
        <color theme="0"/>
      </right>
      <top/>
      <bottom style="thin">
        <color theme="0"/>
      </bottom>
      <diagonal/>
    </border>
    <border>
      <left/>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D3D3D3"/>
      </left>
      <right style="thin">
        <color rgb="FFD3D3D3"/>
      </right>
      <top style="thin">
        <color rgb="FFD3D3D3"/>
      </top>
      <bottom style="thin">
        <color rgb="FFD3D3D3"/>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indexed="64"/>
      </bottom>
      <diagonal/>
    </border>
    <border>
      <left style="thin">
        <color rgb="FFC0C0C0"/>
      </left>
      <right style="thin">
        <color rgb="FFC0C0C0"/>
      </right>
      <top/>
      <bottom style="thin">
        <color rgb="FFC0C0C0"/>
      </bottom>
      <diagonal/>
    </border>
    <border>
      <left style="thin">
        <color rgb="FFC0C0C0"/>
      </left>
      <right/>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theme="1" tint="0.499984740745262"/>
      </right>
      <top/>
      <bottom style="thin">
        <color theme="1" tint="0.499984740745262"/>
      </bottom>
      <diagonal/>
    </border>
  </borders>
  <cellStyleXfs count="4">
    <xf numFmtId="0" fontId="0" fillId="0" borderId="0"/>
    <xf numFmtId="0" fontId="19" fillId="0" borderId="0" applyNumberFormat="0" applyFill="0" applyBorder="0" applyAlignment="0" applyProtection="0"/>
    <xf numFmtId="9" fontId="26" fillId="0" borderId="0" applyFont="0" applyFill="0" applyBorder="0" applyAlignment="0" applyProtection="0"/>
    <xf numFmtId="0" fontId="79" fillId="0" borderId="0"/>
  </cellStyleXfs>
  <cellXfs count="576">
    <xf numFmtId="0" fontId="0" fillId="0" borderId="0" xfId="0"/>
    <xf numFmtId="0" fontId="40" fillId="17" borderId="58" xfId="0" applyFont="1" applyFill="1" applyBorder="1" applyAlignment="1">
      <alignment vertical="top" wrapText="1" readingOrder="1"/>
    </xf>
    <xf numFmtId="165" fontId="40" fillId="17" borderId="58" xfId="0" applyNumberFormat="1" applyFont="1" applyFill="1" applyBorder="1" applyAlignment="1">
      <alignment vertical="top" wrapText="1" readingOrder="1"/>
    </xf>
    <xf numFmtId="0" fontId="2" fillId="0" borderId="0" xfId="0" applyFont="1"/>
    <xf numFmtId="49" fontId="1" fillId="2" borderId="1" xfId="0" applyNumberFormat="1" applyFont="1" applyFill="1" applyBorder="1" applyAlignment="1">
      <alignment horizontal="center"/>
    </xf>
    <xf numFmtId="0" fontId="1" fillId="4" borderId="1" xfId="0" applyFont="1" applyFill="1" applyBorder="1"/>
    <xf numFmtId="0" fontId="1" fillId="4" borderId="1" xfId="0" applyFont="1" applyFill="1" applyBorder="1" applyAlignment="1">
      <alignment horizontal="left"/>
    </xf>
    <xf numFmtId="49" fontId="1" fillId="4" borderId="1" xfId="0" applyNumberFormat="1" applyFont="1" applyFill="1" applyBorder="1" applyAlignment="1">
      <alignment horizontal="center"/>
    </xf>
    <xf numFmtId="0" fontId="1" fillId="2" borderId="1" xfId="0" applyFont="1" applyFill="1" applyBorder="1" applyAlignment="1">
      <alignment horizontal="left"/>
    </xf>
    <xf numFmtId="0" fontId="1" fillId="3" borderId="1" xfId="0" applyFont="1" applyFill="1" applyBorder="1"/>
    <xf numFmtId="0" fontId="1" fillId="3" borderId="1" xfId="0" applyFont="1" applyFill="1" applyBorder="1" applyAlignment="1">
      <alignment wrapText="1"/>
    </xf>
    <xf numFmtId="0" fontId="2" fillId="0" borderId="1" xfId="0" applyFont="1" applyBorder="1"/>
    <xf numFmtId="0" fontId="2" fillId="0" borderId="1" xfId="0" applyFont="1" applyBorder="1" applyAlignment="1">
      <alignment wrapText="1"/>
    </xf>
    <xf numFmtId="0" fontId="3" fillId="0" borderId="0" xfId="0" applyFont="1"/>
    <xf numFmtId="3" fontId="4" fillId="2" borderId="1" xfId="0" applyNumberFormat="1" applyFont="1" applyFill="1" applyBorder="1" applyAlignment="1">
      <alignment horizontal="center" vertical="center" wrapText="1"/>
    </xf>
    <xf numFmtId="3" fontId="4" fillId="3" borderId="1" xfId="0" applyNumberFormat="1"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6" fillId="4" borderId="1" xfId="0" applyFont="1" applyFill="1" applyBorder="1" applyAlignment="1">
      <alignment horizontal="left"/>
    </xf>
    <xf numFmtId="49" fontId="2" fillId="0" borderId="0" xfId="0" applyNumberFormat="1" applyFont="1"/>
    <xf numFmtId="49" fontId="2" fillId="0" borderId="1" xfId="0" applyNumberFormat="1" applyFont="1" applyBorder="1" applyAlignment="1">
      <alignment horizontal="right"/>
    </xf>
    <xf numFmtId="49" fontId="1" fillId="3" borderId="1" xfId="0" applyNumberFormat="1" applyFont="1" applyFill="1" applyBorder="1"/>
    <xf numFmtId="49" fontId="7" fillId="0" borderId="1" xfId="0" applyNumberFormat="1" applyFont="1" applyBorder="1" applyAlignment="1">
      <alignment horizontal="right"/>
    </xf>
    <xf numFmtId="0" fontId="8" fillId="0" borderId="0" xfId="0" applyFont="1"/>
    <xf numFmtId="0" fontId="1" fillId="0" borderId="0" xfId="0" applyFont="1"/>
    <xf numFmtId="4" fontId="2" fillId="0" borderId="0" xfId="0" applyNumberFormat="1" applyFont="1"/>
    <xf numFmtId="3" fontId="1" fillId="2" borderId="1" xfId="0" applyNumberFormat="1" applyFont="1" applyFill="1" applyBorder="1" applyAlignment="1">
      <alignment horizontal="center" vertical="center"/>
    </xf>
    <xf numFmtId="164"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3" fontId="1" fillId="4" borderId="1" xfId="0" applyNumberFormat="1" applyFont="1" applyFill="1" applyBorder="1" applyAlignment="1">
      <alignment horizontal="center" vertical="center"/>
    </xf>
    <xf numFmtId="164" fontId="1" fillId="4" borderId="1" xfId="0" applyNumberFormat="1" applyFont="1" applyFill="1" applyBorder="1" applyAlignment="1">
      <alignment horizontal="center" vertical="center"/>
    </xf>
    <xf numFmtId="164" fontId="2" fillId="0" borderId="1" xfId="0" applyNumberFormat="1" applyFont="1" applyBorder="1" applyAlignment="1">
      <alignment horizontal="center" vertical="center"/>
    </xf>
    <xf numFmtId="164" fontId="1" fillId="3" borderId="1" xfId="0" applyNumberFormat="1" applyFont="1" applyFill="1" applyBorder="1" applyAlignment="1">
      <alignment horizontal="center" vertical="center"/>
    </xf>
    <xf numFmtId="164" fontId="1" fillId="3" borderId="1" xfId="0" applyNumberFormat="1" applyFont="1" applyFill="1" applyBorder="1" applyAlignment="1">
      <alignment horizontal="center" vertical="center" wrapText="1"/>
    </xf>
    <xf numFmtId="164" fontId="2" fillId="0" borderId="1" xfId="0" applyNumberFormat="1" applyFont="1" applyBorder="1" applyAlignment="1">
      <alignment horizontal="center" vertical="center" wrapText="1"/>
    </xf>
    <xf numFmtId="3" fontId="2" fillId="0" borderId="1" xfId="0" applyNumberFormat="1" applyFont="1" applyBorder="1" applyAlignment="1">
      <alignment horizontal="center" vertical="center"/>
    </xf>
    <xf numFmtId="3" fontId="1" fillId="3" borderId="1" xfId="0" applyNumberFormat="1" applyFont="1" applyFill="1" applyBorder="1" applyAlignment="1">
      <alignment horizontal="center" vertical="center"/>
    </xf>
    <xf numFmtId="3" fontId="1" fillId="3" borderId="1" xfId="0" applyNumberFormat="1" applyFont="1" applyFill="1" applyBorder="1" applyAlignment="1">
      <alignment horizontal="center" vertical="center" wrapText="1"/>
    </xf>
    <xf numFmtId="3" fontId="7" fillId="0" borderId="1" xfId="0" applyNumberFormat="1" applyFont="1" applyBorder="1" applyAlignment="1">
      <alignment horizontal="center" vertical="center"/>
    </xf>
    <xf numFmtId="3"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7" fillId="0" borderId="1" xfId="0" applyFont="1" applyBorder="1" applyAlignment="1">
      <alignment horizontal="center" vertical="center"/>
    </xf>
    <xf numFmtId="0" fontId="2" fillId="0" borderId="1" xfId="0" applyFont="1" applyBorder="1" applyAlignment="1">
      <alignment horizontal="center" vertical="center" wrapText="1"/>
    </xf>
    <xf numFmtId="3" fontId="9" fillId="7" borderId="9" xfId="0" applyNumberFormat="1" applyFont="1" applyFill="1" applyBorder="1" applyAlignment="1">
      <alignment horizontal="center" vertical="center"/>
    </xf>
    <xf numFmtId="164" fontId="9" fillId="7" borderId="9" xfId="0" applyNumberFormat="1" applyFont="1" applyFill="1" applyBorder="1" applyAlignment="1">
      <alignment horizontal="center" vertical="center"/>
    </xf>
    <xf numFmtId="0" fontId="9" fillId="8" borderId="9" xfId="0" applyFont="1" applyFill="1" applyBorder="1" applyAlignment="1">
      <alignment horizontal="left"/>
    </xf>
    <xf numFmtId="3" fontId="9" fillId="8" borderId="9" xfId="0" applyNumberFormat="1" applyFont="1" applyFill="1" applyBorder="1" applyAlignment="1">
      <alignment horizontal="center" vertical="center"/>
    </xf>
    <xf numFmtId="164" fontId="9" fillId="8" borderId="9" xfId="0" applyNumberFormat="1" applyFont="1" applyFill="1" applyBorder="1" applyAlignment="1">
      <alignment horizontal="center" vertical="center"/>
    </xf>
    <xf numFmtId="0" fontId="9" fillId="7" borderId="9" xfId="0" applyFont="1" applyFill="1" applyBorder="1" applyAlignment="1">
      <alignment horizontal="left" vertical="center" wrapText="1"/>
    </xf>
    <xf numFmtId="3" fontId="10" fillId="6" borderId="15" xfId="0" applyNumberFormat="1" applyFont="1" applyFill="1" applyBorder="1" applyAlignment="1">
      <alignment horizontal="center" vertical="center" wrapText="1"/>
    </xf>
    <xf numFmtId="3" fontId="10" fillId="6" borderId="11" xfId="0" applyNumberFormat="1" applyFont="1" applyFill="1" applyBorder="1" applyAlignment="1">
      <alignment horizontal="center" vertical="center" wrapText="1"/>
    </xf>
    <xf numFmtId="3" fontId="10" fillId="6" borderId="10" xfId="0" applyNumberFormat="1" applyFont="1" applyFill="1" applyBorder="1" applyAlignment="1">
      <alignment horizontal="center" vertical="center" wrapText="1"/>
    </xf>
    <xf numFmtId="3" fontId="10" fillId="6" borderId="14" xfId="0" applyNumberFormat="1" applyFont="1" applyFill="1" applyBorder="1" applyAlignment="1">
      <alignment horizontal="center" vertical="center" wrapText="1"/>
    </xf>
    <xf numFmtId="10" fontId="2" fillId="0" borderId="0" xfId="0" applyNumberFormat="1" applyFont="1"/>
    <xf numFmtId="10" fontId="4" fillId="3" borderId="1" xfId="0" applyNumberFormat="1" applyFont="1" applyFill="1" applyBorder="1" applyAlignment="1">
      <alignment horizontal="center" vertical="center" wrapText="1"/>
    </xf>
    <xf numFmtId="3" fontId="2" fillId="0" borderId="0" xfId="0" applyNumberFormat="1" applyFont="1"/>
    <xf numFmtId="3" fontId="4" fillId="2" borderId="5" xfId="0" applyNumberFormat="1" applyFont="1" applyFill="1" applyBorder="1" applyAlignment="1">
      <alignment horizontal="center" vertical="center" wrapText="1"/>
    </xf>
    <xf numFmtId="0" fontId="13" fillId="0" borderId="0" xfId="0" applyFont="1"/>
    <xf numFmtId="0" fontId="13" fillId="0" borderId="0" xfId="0" applyFont="1" applyAlignment="1">
      <alignment vertical="center"/>
    </xf>
    <xf numFmtId="0" fontId="13" fillId="0" borderId="0" xfId="0" applyFont="1" applyAlignment="1">
      <alignment horizontal="center"/>
    </xf>
    <xf numFmtId="0" fontId="20" fillId="0" borderId="0" xfId="1" applyFont="1" applyBorder="1" applyAlignment="1">
      <alignment vertical="center"/>
    </xf>
    <xf numFmtId="49" fontId="1" fillId="2" borderId="6" xfId="0" applyNumberFormat="1" applyFont="1" applyFill="1" applyBorder="1" applyAlignment="1">
      <alignment horizontal="center" vertical="center"/>
    </xf>
    <xf numFmtId="3" fontId="0" fillId="0" borderId="0" xfId="0" applyNumberFormat="1"/>
    <xf numFmtId="3" fontId="1" fillId="0" borderId="0" xfId="0" applyNumberFormat="1" applyFont="1"/>
    <xf numFmtId="3" fontId="21" fillId="0" borderId="0" xfId="0" applyNumberFormat="1" applyFont="1"/>
    <xf numFmtId="0" fontId="25" fillId="0" borderId="0" xfId="0" applyFont="1"/>
    <xf numFmtId="0" fontId="1" fillId="2" borderId="1" xfId="0" applyFont="1" applyFill="1" applyBorder="1" applyAlignment="1">
      <alignment horizontal="center" vertical="center" wrapText="1"/>
    </xf>
    <xf numFmtId="3" fontId="1" fillId="4" borderId="1" xfId="0" applyNumberFormat="1" applyFont="1" applyFill="1" applyBorder="1"/>
    <xf numFmtId="0" fontId="1" fillId="4" borderId="24" xfId="0" applyFont="1" applyFill="1" applyBorder="1" applyAlignment="1">
      <alignment horizontal="left"/>
    </xf>
    <xf numFmtId="0" fontId="1" fillId="4" borderId="26" xfId="0" applyFont="1" applyFill="1" applyBorder="1" applyAlignment="1">
      <alignment horizontal="left"/>
    </xf>
    <xf numFmtId="3" fontId="1" fillId="4" borderId="3" xfId="0" applyNumberFormat="1" applyFont="1" applyFill="1" applyBorder="1"/>
    <xf numFmtId="0" fontId="24" fillId="4" borderId="29" xfId="0" applyFont="1" applyFill="1" applyBorder="1" applyAlignment="1">
      <alignment horizontal="left"/>
    </xf>
    <xf numFmtId="0" fontId="24" fillId="4" borderId="24" xfId="0" applyFont="1" applyFill="1" applyBorder="1" applyAlignment="1">
      <alignment horizontal="left"/>
    </xf>
    <xf numFmtId="0" fontId="24" fillId="4" borderId="31" xfId="0" applyFont="1" applyFill="1" applyBorder="1" applyAlignment="1">
      <alignment horizontal="left"/>
    </xf>
    <xf numFmtId="0" fontId="24" fillId="4" borderId="33" xfId="0" applyFont="1" applyFill="1" applyBorder="1" applyAlignment="1">
      <alignment horizontal="left"/>
    </xf>
    <xf numFmtId="3" fontId="1" fillId="4" borderId="36" xfId="0" applyNumberFormat="1" applyFont="1" applyFill="1" applyBorder="1" applyAlignment="1">
      <alignment horizontal="center" vertical="center"/>
    </xf>
    <xf numFmtId="164" fontId="1" fillId="4" borderId="36" xfId="0" applyNumberFormat="1" applyFont="1" applyFill="1" applyBorder="1" applyAlignment="1">
      <alignment horizontal="center" vertical="center"/>
    </xf>
    <xf numFmtId="164" fontId="1" fillId="4" borderId="37" xfId="0" applyNumberFormat="1" applyFont="1" applyFill="1" applyBorder="1" applyAlignment="1">
      <alignment horizontal="center" vertical="center"/>
    </xf>
    <xf numFmtId="0" fontId="1" fillId="4" borderId="40" xfId="0" applyFont="1" applyFill="1" applyBorder="1" applyAlignment="1">
      <alignment horizontal="left"/>
    </xf>
    <xf numFmtId="0" fontId="23" fillId="4" borderId="2" xfId="0" applyFont="1" applyFill="1" applyBorder="1" applyAlignment="1">
      <alignment horizontal="right"/>
    </xf>
    <xf numFmtId="0" fontId="23" fillId="4" borderId="4" xfId="0" applyFont="1" applyFill="1" applyBorder="1" applyAlignment="1">
      <alignment horizontal="right"/>
    </xf>
    <xf numFmtId="0" fontId="1" fillId="4" borderId="35" xfId="0" applyFont="1" applyFill="1" applyBorder="1" applyAlignment="1">
      <alignment horizontal="right" vertical="center"/>
    </xf>
    <xf numFmtId="0" fontId="1" fillId="2" borderId="38" xfId="0" applyFont="1" applyFill="1" applyBorder="1"/>
    <xf numFmtId="0" fontId="1" fillId="2" borderId="0" xfId="0" applyFont="1" applyFill="1"/>
    <xf numFmtId="0" fontId="1" fillId="2" borderId="39" xfId="0" applyFont="1" applyFill="1" applyBorder="1"/>
    <xf numFmtId="0" fontId="1" fillId="2" borderId="43" xfId="0" applyFont="1" applyFill="1" applyBorder="1"/>
    <xf numFmtId="0" fontId="1" fillId="2" borderId="44" xfId="0" applyFont="1" applyFill="1" applyBorder="1"/>
    <xf numFmtId="0" fontId="1" fillId="2" borderId="45" xfId="0" applyFont="1" applyFill="1" applyBorder="1"/>
    <xf numFmtId="0" fontId="5" fillId="2" borderId="1" xfId="0" applyFont="1" applyFill="1" applyBorder="1" applyAlignment="1">
      <alignment horizontal="center" vertical="center" wrapText="1"/>
    </xf>
    <xf numFmtId="16" fontId="5" fillId="3"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1" fillId="4" borderId="1" xfId="0" applyFont="1" applyFill="1" applyBorder="1" applyAlignment="1">
      <alignment horizontal="left" vertical="center"/>
    </xf>
    <xf numFmtId="49" fontId="27" fillId="0" borderId="1" xfId="0" applyNumberFormat="1" applyFont="1" applyBorder="1" applyAlignment="1">
      <alignment horizontal="right"/>
    </xf>
    <xf numFmtId="0" fontId="27" fillId="0" borderId="1" xfId="0" applyFont="1" applyBorder="1" applyAlignment="1">
      <alignment wrapText="1"/>
    </xf>
    <xf numFmtId="0" fontId="27" fillId="0" borderId="1" xfId="0" applyFont="1" applyBorder="1"/>
    <xf numFmtId="0" fontId="27" fillId="0" borderId="1" xfId="0" applyFont="1" applyBorder="1" applyAlignment="1">
      <alignment horizontal="center" vertical="center"/>
    </xf>
    <xf numFmtId="3" fontId="27" fillId="0" borderId="1" xfId="0" applyNumberFormat="1" applyFont="1" applyBorder="1" applyAlignment="1">
      <alignment horizontal="center" vertical="center"/>
    </xf>
    <xf numFmtId="164" fontId="27" fillId="0" borderId="1" xfId="0" applyNumberFormat="1" applyFont="1" applyBorder="1" applyAlignment="1">
      <alignment horizontal="center" vertical="center"/>
    </xf>
    <xf numFmtId="0" fontId="7" fillId="0" borderId="0" xfId="0" applyFont="1"/>
    <xf numFmtId="0" fontId="1" fillId="2" borderId="1" xfId="0" applyFont="1" applyFill="1" applyBorder="1" applyAlignment="1">
      <alignment horizontal="center"/>
    </xf>
    <xf numFmtId="49" fontId="1" fillId="2" borderId="1" xfId="0" applyNumberFormat="1" applyFont="1" applyFill="1" applyBorder="1"/>
    <xf numFmtId="3" fontId="5" fillId="3" borderId="1" xfId="0" applyNumberFormat="1" applyFont="1" applyFill="1" applyBorder="1" applyAlignment="1">
      <alignment horizontal="center" vertical="center" wrapText="1"/>
    </xf>
    <xf numFmtId="10" fontId="5" fillId="3" borderId="1" xfId="0" applyNumberFormat="1" applyFont="1" applyFill="1" applyBorder="1" applyAlignment="1">
      <alignment horizontal="center" vertical="center" wrapText="1"/>
    </xf>
    <xf numFmtId="49" fontId="1" fillId="4" borderId="1" xfId="0" applyNumberFormat="1" applyFont="1" applyFill="1" applyBorder="1"/>
    <xf numFmtId="164" fontId="4" fillId="2" borderId="1" xfId="0" applyNumberFormat="1" applyFont="1" applyFill="1" applyBorder="1" applyAlignment="1">
      <alignment horizontal="center" vertical="center" wrapText="1"/>
    </xf>
    <xf numFmtId="164" fontId="5" fillId="2" borderId="1" xfId="0" applyNumberFormat="1" applyFont="1" applyFill="1" applyBorder="1" applyAlignment="1">
      <alignment horizontal="center" vertical="center" wrapText="1"/>
    </xf>
    <xf numFmtId="164" fontId="0" fillId="0" borderId="0" xfId="0" applyNumberFormat="1"/>
    <xf numFmtId="1" fontId="2" fillId="0" borderId="0" xfId="0" applyNumberFormat="1" applyFont="1"/>
    <xf numFmtId="1" fontId="4" fillId="3" borderId="1" xfId="0" applyNumberFormat="1" applyFont="1" applyFill="1" applyBorder="1" applyAlignment="1">
      <alignment horizontal="center" vertical="center" wrapText="1"/>
    </xf>
    <xf numFmtId="1" fontId="5" fillId="3" borderId="1" xfId="0" applyNumberFormat="1" applyFont="1" applyFill="1" applyBorder="1" applyAlignment="1">
      <alignment horizontal="center" vertical="center" wrapText="1"/>
    </xf>
    <xf numFmtId="0" fontId="15" fillId="9" borderId="1" xfId="0" applyFont="1" applyFill="1" applyBorder="1"/>
    <xf numFmtId="164" fontId="13" fillId="9" borderId="1" xfId="0" applyNumberFormat="1" applyFont="1" applyFill="1" applyBorder="1" applyAlignment="1">
      <alignment horizontal="center"/>
    </xf>
    <xf numFmtId="0" fontId="14" fillId="9" borderId="1" xfId="0" applyFont="1" applyFill="1" applyBorder="1" applyAlignment="1">
      <alignment horizontal="right" vertical="center"/>
    </xf>
    <xf numFmtId="0" fontId="13" fillId="9" borderId="1" xfId="0" applyFont="1" applyFill="1" applyBorder="1"/>
    <xf numFmtId="4" fontId="14" fillId="5" borderId="1" xfId="0" applyNumberFormat="1" applyFont="1" applyFill="1" applyBorder="1" applyAlignment="1">
      <alignment horizontal="center"/>
    </xf>
    <xf numFmtId="164" fontId="31" fillId="9" borderId="1" xfId="0" applyNumberFormat="1" applyFont="1" applyFill="1" applyBorder="1" applyAlignment="1">
      <alignment horizontal="center"/>
    </xf>
    <xf numFmtId="0" fontId="12" fillId="0" borderId="0" xfId="0" applyFont="1" applyAlignment="1">
      <alignment vertical="center" readingOrder="1"/>
    </xf>
    <xf numFmtId="0" fontId="1" fillId="10" borderId="1" xfId="0" applyFont="1" applyFill="1" applyBorder="1"/>
    <xf numFmtId="0" fontId="1" fillId="10" borderId="1" xfId="0" applyFont="1" applyFill="1" applyBorder="1" applyAlignment="1">
      <alignment horizontal="center"/>
    </xf>
    <xf numFmtId="0" fontId="1" fillId="10" borderId="1" xfId="0" applyFont="1" applyFill="1" applyBorder="1" applyAlignment="1">
      <alignment horizontal="left"/>
    </xf>
    <xf numFmtId="0" fontId="0" fillId="10" borderId="1" xfId="0" applyFill="1" applyBorder="1"/>
    <xf numFmtId="164" fontId="0" fillId="10" borderId="1" xfId="0" applyNumberFormat="1" applyFill="1" applyBorder="1"/>
    <xf numFmtId="0" fontId="32" fillId="4" borderId="1" xfId="0" applyFont="1" applyFill="1" applyBorder="1" applyAlignment="1">
      <alignment horizontal="left" vertical="center"/>
    </xf>
    <xf numFmtId="3" fontId="32" fillId="4" borderId="1" xfId="0" applyNumberFormat="1" applyFont="1" applyFill="1" applyBorder="1" applyAlignment="1">
      <alignment horizontal="center" vertical="center"/>
    </xf>
    <xf numFmtId="164" fontId="32" fillId="4" borderId="1" xfId="0" applyNumberFormat="1" applyFont="1" applyFill="1" applyBorder="1" applyAlignment="1">
      <alignment horizontal="center" vertical="center"/>
    </xf>
    <xf numFmtId="0" fontId="29" fillId="8" borderId="1" xfId="0" applyFont="1" applyFill="1" applyBorder="1" applyAlignment="1">
      <alignment horizontal="center" vertical="center" wrapText="1"/>
    </xf>
    <xf numFmtId="0" fontId="30" fillId="8" borderId="1" xfId="0" applyFont="1" applyFill="1" applyBorder="1" applyAlignment="1">
      <alignment horizontal="center" vertical="center" wrapText="1"/>
    </xf>
    <xf numFmtId="4" fontId="13" fillId="5" borderId="1" xfId="0" applyNumberFormat="1" applyFont="1" applyFill="1" applyBorder="1" applyAlignment="1">
      <alignment horizontal="center" vertical="center"/>
    </xf>
    <xf numFmtId="0" fontId="5" fillId="3" borderId="1" xfId="0" applyFont="1" applyFill="1" applyBorder="1" applyAlignment="1">
      <alignment horizontal="center"/>
    </xf>
    <xf numFmtId="49" fontId="6" fillId="2" borderId="1" xfId="0" applyNumberFormat="1" applyFont="1" applyFill="1" applyBorder="1" applyAlignment="1">
      <alignment horizontal="center"/>
    </xf>
    <xf numFmtId="0" fontId="6" fillId="2" borderId="1" xfId="0" applyFont="1" applyFill="1" applyBorder="1" applyAlignment="1">
      <alignment horizontal="center" vertical="center" wrapText="1"/>
    </xf>
    <xf numFmtId="49" fontId="6" fillId="2" borderId="7" xfId="0" applyNumberFormat="1" applyFont="1" applyFill="1" applyBorder="1" applyAlignment="1">
      <alignment horizontal="center" vertical="center"/>
    </xf>
    <xf numFmtId="0" fontId="6" fillId="2" borderId="7" xfId="0" applyFont="1" applyFill="1" applyBorder="1" applyAlignment="1">
      <alignment horizontal="center" vertical="center" wrapText="1"/>
    </xf>
    <xf numFmtId="0" fontId="7" fillId="0" borderId="1" xfId="0" applyFont="1" applyBorder="1" applyAlignment="1">
      <alignment wrapText="1"/>
    </xf>
    <xf numFmtId="49" fontId="2" fillId="0" borderId="0" xfId="0" applyNumberFormat="1" applyFont="1" applyProtection="1">
      <protection locked="0"/>
    </xf>
    <xf numFmtId="0" fontId="2" fillId="0" borderId="0" xfId="0" applyFont="1" applyProtection="1">
      <protection locked="0"/>
    </xf>
    <xf numFmtId="3" fontId="2" fillId="0" borderId="0" xfId="0" applyNumberFormat="1" applyFont="1" applyProtection="1">
      <protection locked="0"/>
    </xf>
    <xf numFmtId="49" fontId="2" fillId="0" borderId="0" xfId="0" applyNumberFormat="1" applyFont="1" applyAlignment="1" applyProtection="1">
      <alignment horizontal="center" wrapText="1"/>
      <protection locked="0"/>
    </xf>
    <xf numFmtId="49" fontId="1" fillId="2" borderId="1" xfId="0" applyNumberFormat="1" applyFont="1" applyFill="1" applyBorder="1" applyAlignment="1">
      <alignment horizontal="center" vertical="center"/>
    </xf>
    <xf numFmtId="49" fontId="2" fillId="0" borderId="0" xfId="0" applyNumberFormat="1" applyFont="1" applyAlignment="1" applyProtection="1">
      <alignment wrapText="1"/>
      <protection locked="0"/>
    </xf>
    <xf numFmtId="0" fontId="3" fillId="0" borderId="0" xfId="0" applyFont="1" applyAlignment="1">
      <alignment horizontal="center" vertical="center"/>
    </xf>
    <xf numFmtId="0" fontId="3" fillId="0" borderId="0" xfId="0" applyFont="1" applyAlignment="1">
      <alignment vertical="center"/>
    </xf>
    <xf numFmtId="0" fontId="1" fillId="3" borderId="1" xfId="0" applyFont="1" applyFill="1" applyBorder="1" applyAlignment="1">
      <alignment vertical="center"/>
    </xf>
    <xf numFmtId="0" fontId="1" fillId="3" borderId="50" xfId="0" applyFont="1" applyFill="1" applyBorder="1" applyAlignment="1">
      <alignment vertical="center"/>
    </xf>
    <xf numFmtId="0" fontId="1" fillId="3" borderId="51" xfId="0" applyFont="1" applyFill="1" applyBorder="1" applyAlignment="1">
      <alignment vertical="center"/>
    </xf>
    <xf numFmtId="0" fontId="1" fillId="3" borderId="49" xfId="0" applyFont="1" applyFill="1" applyBorder="1" applyAlignment="1">
      <alignment vertical="center"/>
    </xf>
    <xf numFmtId="3" fontId="2" fillId="13" borderId="1" xfId="0" applyNumberFormat="1" applyFont="1" applyFill="1" applyBorder="1" applyAlignment="1">
      <alignment horizontal="center" vertical="center"/>
    </xf>
    <xf numFmtId="4" fontId="8" fillId="0" borderId="0" xfId="0" applyNumberFormat="1" applyFont="1"/>
    <xf numFmtId="49" fontId="2" fillId="0" borderId="0" xfId="0" applyNumberFormat="1" applyFont="1" applyAlignment="1">
      <alignment horizontal="center" wrapText="1"/>
    </xf>
    <xf numFmtId="0" fontId="3" fillId="0" borderId="0" xfId="0" applyFont="1" applyAlignment="1">
      <alignment horizontal="left" wrapText="1"/>
    </xf>
    <xf numFmtId="0" fontId="2" fillId="0" borderId="0" xfId="0" applyFont="1" applyAlignment="1">
      <alignment horizontal="center" wrapText="1"/>
    </xf>
    <xf numFmtId="0" fontId="21" fillId="0" borderId="0" xfId="0" applyFont="1" applyAlignment="1">
      <alignment horizontal="center" wrapText="1"/>
    </xf>
    <xf numFmtId="49" fontId="1" fillId="2" borderId="1" xfId="0" applyNumberFormat="1"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14" borderId="1" xfId="0" applyFont="1" applyFill="1" applyBorder="1" applyAlignment="1">
      <alignment horizontal="center" vertical="center" wrapText="1"/>
    </xf>
    <xf numFmtId="49" fontId="1" fillId="3" borderId="1" xfId="0" applyNumberFormat="1" applyFont="1" applyFill="1" applyBorder="1" applyAlignment="1">
      <alignment horizontal="center" vertical="center" wrapText="1"/>
    </xf>
    <xf numFmtId="49" fontId="22" fillId="3" borderId="1" xfId="0" applyNumberFormat="1" applyFont="1" applyFill="1" applyBorder="1" applyAlignment="1">
      <alignment horizontal="center" vertical="center" wrapText="1"/>
    </xf>
    <xf numFmtId="49" fontId="1" fillId="1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wrapText="1"/>
    </xf>
    <xf numFmtId="0" fontId="1" fillId="3" borderId="1" xfId="0" applyFont="1" applyFill="1" applyBorder="1" applyAlignment="1">
      <alignment horizontal="left" vertical="center" wrapText="1"/>
    </xf>
    <xf numFmtId="0" fontId="1" fillId="3" borderId="1" xfId="0" applyFont="1" applyFill="1" applyBorder="1" applyAlignment="1">
      <alignment horizontal="center" wrapText="1"/>
    </xf>
    <xf numFmtId="0" fontId="22" fillId="3" borderId="1" xfId="0" applyFont="1" applyFill="1" applyBorder="1" applyAlignment="1">
      <alignment horizontal="center" wrapText="1"/>
    </xf>
    <xf numFmtId="0" fontId="2" fillId="5" borderId="1" xfId="0" applyFont="1" applyFill="1" applyBorder="1" applyAlignment="1">
      <alignment horizontal="center" vertical="center" wrapText="1"/>
    </xf>
    <xf numFmtId="0" fontId="2" fillId="0" borderId="0" xfId="0" applyFont="1" applyAlignment="1">
      <alignment vertical="center"/>
    </xf>
    <xf numFmtId="0" fontId="2" fillId="0" borderId="0" xfId="0" applyFont="1" applyAlignment="1" applyProtection="1">
      <alignment horizontal="left" wrapText="1"/>
      <protection locked="0"/>
    </xf>
    <xf numFmtId="0" fontId="2" fillId="0" borderId="0" xfId="0" applyFont="1" applyAlignment="1" applyProtection="1">
      <alignment horizontal="center" wrapText="1"/>
      <protection locked="0"/>
    </xf>
    <xf numFmtId="0" fontId="21" fillId="0" borderId="0" xfId="0" applyFont="1" applyAlignment="1" applyProtection="1">
      <alignment horizontal="center" wrapText="1"/>
      <protection locked="0"/>
    </xf>
    <xf numFmtId="0" fontId="2" fillId="0" borderId="0" xfId="0" applyFont="1" applyAlignment="1">
      <alignment horizontal="left" wrapText="1"/>
    </xf>
    <xf numFmtId="0" fontId="1" fillId="4" borderId="1" xfId="0" applyFont="1" applyFill="1" applyBorder="1" applyAlignment="1">
      <alignment horizontal="center" vertical="center"/>
    </xf>
    <xf numFmtId="3" fontId="35" fillId="0" borderId="1" xfId="0" applyNumberFormat="1" applyFont="1" applyBorder="1" applyAlignment="1">
      <alignment horizontal="center" vertical="center"/>
    </xf>
    <xf numFmtId="164" fontId="35" fillId="0" borderId="1" xfId="0" applyNumberFormat="1" applyFont="1" applyBorder="1" applyAlignment="1">
      <alignment horizontal="center" vertical="center"/>
    </xf>
    <xf numFmtId="3" fontId="35" fillId="0" borderId="1" xfId="0" applyNumberFormat="1" applyFont="1" applyBorder="1" applyAlignment="1">
      <alignment horizontal="center" vertical="center" wrapText="1"/>
    </xf>
    <xf numFmtId="164" fontId="35" fillId="0" borderId="1" xfId="0" applyNumberFormat="1" applyFont="1" applyBorder="1" applyAlignment="1">
      <alignment horizontal="center" vertical="center" wrapText="1"/>
    </xf>
    <xf numFmtId="3" fontId="23" fillId="3" borderId="1" xfId="0" applyNumberFormat="1" applyFont="1" applyFill="1" applyBorder="1" applyAlignment="1">
      <alignment horizontal="center" vertical="center"/>
    </xf>
    <xf numFmtId="164" fontId="23" fillId="3" borderId="1" xfId="0" applyNumberFormat="1" applyFont="1" applyFill="1" applyBorder="1" applyAlignment="1">
      <alignment horizontal="center" vertical="center"/>
    </xf>
    <xf numFmtId="3" fontId="23" fillId="3" borderId="1" xfId="0" applyNumberFormat="1" applyFont="1" applyFill="1" applyBorder="1" applyAlignment="1">
      <alignment horizontal="center" vertical="center" wrapText="1"/>
    </xf>
    <xf numFmtId="164" fontId="23" fillId="3" borderId="1" xfId="0" applyNumberFormat="1" applyFont="1" applyFill="1" applyBorder="1" applyAlignment="1">
      <alignment horizontal="center" vertical="center" wrapText="1"/>
    </xf>
    <xf numFmtId="164" fontId="36" fillId="0" borderId="1" xfId="0" applyNumberFormat="1" applyFont="1" applyBorder="1" applyAlignment="1">
      <alignment horizontal="center" vertical="center"/>
    </xf>
    <xf numFmtId="3" fontId="37" fillId="0" borderId="1" xfId="0" applyNumberFormat="1" applyFont="1" applyBorder="1" applyAlignment="1">
      <alignment horizontal="center" vertical="center"/>
    </xf>
    <xf numFmtId="164" fontId="37" fillId="0" borderId="1" xfId="0" applyNumberFormat="1" applyFont="1" applyBorder="1" applyAlignment="1">
      <alignment horizontal="center" vertical="center"/>
    </xf>
    <xf numFmtId="3" fontId="36" fillId="0" borderId="1" xfId="0" applyNumberFormat="1" applyFont="1" applyBorder="1" applyAlignment="1">
      <alignment horizontal="center" vertical="center"/>
    </xf>
    <xf numFmtId="3" fontId="23" fillId="4" borderId="1" xfId="0" applyNumberFormat="1" applyFont="1" applyFill="1" applyBorder="1" applyAlignment="1">
      <alignment horizontal="center" vertical="center"/>
    </xf>
    <xf numFmtId="164" fontId="23" fillId="4" borderId="1" xfId="0" applyNumberFormat="1" applyFont="1" applyFill="1" applyBorder="1" applyAlignment="1">
      <alignment horizontal="center" vertical="center"/>
    </xf>
    <xf numFmtId="164" fontId="38" fillId="4" borderId="1" xfId="0" applyNumberFormat="1" applyFont="1" applyFill="1" applyBorder="1" applyAlignment="1">
      <alignment horizontal="center" vertical="center"/>
    </xf>
    <xf numFmtId="3" fontId="38" fillId="4" borderId="1" xfId="0" applyNumberFormat="1" applyFont="1" applyFill="1" applyBorder="1" applyAlignment="1">
      <alignment horizontal="center" vertical="center"/>
    </xf>
    <xf numFmtId="3" fontId="23" fillId="2" borderId="1" xfId="0" applyNumberFormat="1" applyFont="1" applyFill="1" applyBorder="1" applyAlignment="1">
      <alignment horizontal="center" vertical="center"/>
    </xf>
    <xf numFmtId="164" fontId="23" fillId="2" borderId="1" xfId="0" applyNumberFormat="1" applyFont="1" applyFill="1" applyBorder="1" applyAlignment="1">
      <alignment horizontal="center" vertical="center"/>
    </xf>
    <xf numFmtId="41" fontId="23" fillId="4" borderId="1" xfId="0" applyNumberFormat="1" applyFont="1" applyFill="1" applyBorder="1" applyAlignment="1">
      <alignment vertical="center"/>
    </xf>
    <xf numFmtId="41" fontId="23" fillId="4" borderId="1" xfId="0" applyNumberFormat="1" applyFont="1" applyFill="1" applyBorder="1" applyAlignment="1">
      <alignment horizontal="center" vertical="center"/>
    </xf>
    <xf numFmtId="3" fontId="23" fillId="10" borderId="1" xfId="0" applyNumberFormat="1" applyFont="1" applyFill="1" applyBorder="1" applyAlignment="1">
      <alignment horizontal="center" vertical="center"/>
    </xf>
    <xf numFmtId="164" fontId="23" fillId="10" borderId="1" xfId="0" applyNumberFormat="1" applyFont="1" applyFill="1" applyBorder="1" applyAlignment="1">
      <alignment horizontal="center" vertical="center"/>
    </xf>
    <xf numFmtId="3" fontId="35" fillId="4" borderId="1" xfId="0" applyNumberFormat="1" applyFont="1" applyFill="1" applyBorder="1" applyAlignment="1">
      <alignment horizontal="center" vertical="center" wrapText="1"/>
    </xf>
    <xf numFmtId="164" fontId="35" fillId="4" borderId="1" xfId="0" applyNumberFormat="1" applyFont="1" applyFill="1" applyBorder="1" applyAlignment="1">
      <alignment horizontal="center" vertical="center" wrapText="1"/>
    </xf>
    <xf numFmtId="3" fontId="2" fillId="0" borderId="41" xfId="0" applyNumberFormat="1" applyFont="1" applyBorder="1"/>
    <xf numFmtId="164" fontId="2" fillId="0" borderId="41" xfId="0" applyNumberFormat="1" applyFont="1" applyBorder="1"/>
    <xf numFmtId="164" fontId="2" fillId="0" borderId="42" xfId="0" applyNumberFormat="1" applyFont="1" applyBorder="1"/>
    <xf numFmtId="3" fontId="2" fillId="0" borderId="19" xfId="0" applyNumberFormat="1" applyFont="1" applyBorder="1"/>
    <xf numFmtId="164" fontId="2" fillId="0" borderId="19" xfId="0" applyNumberFormat="1" applyFont="1" applyBorder="1"/>
    <xf numFmtId="164" fontId="2" fillId="0" borderId="25" xfId="0" applyNumberFormat="1" applyFont="1" applyBorder="1"/>
    <xf numFmtId="3" fontId="2" fillId="0" borderId="27" xfId="0" applyNumberFormat="1" applyFont="1" applyBorder="1"/>
    <xf numFmtId="164" fontId="2" fillId="0" borderId="27" xfId="0" applyNumberFormat="1" applyFont="1" applyBorder="1"/>
    <xf numFmtId="164" fontId="2" fillId="0" borderId="28" xfId="0" applyNumberFormat="1" applyFont="1" applyBorder="1"/>
    <xf numFmtId="164" fontId="1" fillId="4" borderId="3" xfId="0" applyNumberFormat="1" applyFont="1" applyFill="1" applyBorder="1"/>
    <xf numFmtId="164" fontId="1" fillId="4" borderId="23" xfId="0" applyNumberFormat="1" applyFont="1" applyFill="1" applyBorder="1"/>
    <xf numFmtId="3" fontId="2" fillId="0" borderId="21" xfId="0" applyNumberFormat="1" applyFont="1" applyBorder="1"/>
    <xf numFmtId="164" fontId="2" fillId="0" borderId="21" xfId="0" applyNumberFormat="1" applyFont="1" applyBorder="1"/>
    <xf numFmtId="164" fontId="2" fillId="0" borderId="30" xfId="0" applyNumberFormat="1" applyFont="1" applyBorder="1"/>
    <xf numFmtId="3" fontId="2" fillId="0" borderId="22" xfId="0" applyNumberFormat="1" applyFont="1" applyBorder="1"/>
    <xf numFmtId="164" fontId="2" fillId="0" borderId="22" xfId="0" applyNumberFormat="1" applyFont="1" applyBorder="1"/>
    <xf numFmtId="164" fontId="2" fillId="0" borderId="32" xfId="0" applyNumberFormat="1" applyFont="1" applyBorder="1"/>
    <xf numFmtId="164" fontId="1" fillId="4" borderId="1" xfId="0" applyNumberFormat="1" applyFont="1" applyFill="1" applyBorder="1"/>
    <xf numFmtId="164" fontId="1" fillId="4" borderId="5" xfId="0" applyNumberFormat="1" applyFont="1" applyFill="1" applyBorder="1"/>
    <xf numFmtId="3" fontId="2" fillId="0" borderId="20" xfId="0" applyNumberFormat="1" applyFont="1" applyBorder="1"/>
    <xf numFmtId="164" fontId="2" fillId="0" borderId="20" xfId="0" applyNumberFormat="1" applyFont="1" applyBorder="1"/>
    <xf numFmtId="164" fontId="2" fillId="0" borderId="34" xfId="0" applyNumberFormat="1" applyFont="1" applyBorder="1"/>
    <xf numFmtId="0" fontId="2" fillId="3" borderId="1" xfId="0" applyFont="1" applyFill="1" applyBorder="1" applyAlignment="1">
      <alignment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3" fontId="35" fillId="3" borderId="1" xfId="0" applyNumberFormat="1" applyFont="1" applyFill="1" applyBorder="1" applyAlignment="1">
      <alignment horizontal="center" vertical="center"/>
    </xf>
    <xf numFmtId="164" fontId="35" fillId="3" borderId="1" xfId="0" applyNumberFormat="1" applyFont="1" applyFill="1" applyBorder="1" applyAlignment="1">
      <alignment horizontal="center" vertical="center"/>
    </xf>
    <xf numFmtId="0" fontId="2" fillId="4" borderId="1" xfId="0" applyFont="1" applyFill="1" applyBorder="1" applyAlignment="1">
      <alignment wrapText="1"/>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3" fontId="35" fillId="4" borderId="1" xfId="0" applyNumberFormat="1" applyFont="1" applyFill="1" applyBorder="1" applyAlignment="1">
      <alignment horizontal="center" vertical="center"/>
    </xf>
    <xf numFmtId="164" fontId="35" fillId="4" borderId="1" xfId="0" applyNumberFormat="1" applyFont="1" applyFill="1" applyBorder="1" applyAlignment="1">
      <alignment horizontal="center" vertical="center"/>
    </xf>
    <xf numFmtId="0" fontId="1" fillId="2" borderId="1" xfId="0" applyFont="1" applyFill="1" applyBorder="1" applyAlignment="1">
      <alignment wrapText="1"/>
    </xf>
    <xf numFmtId="3" fontId="23" fillId="2" borderId="1" xfId="0" applyNumberFormat="1" applyFont="1" applyFill="1" applyBorder="1" applyAlignment="1">
      <alignment horizontal="center" vertical="center" wrapText="1"/>
    </xf>
    <xf numFmtId="164" fontId="23" fillId="2" borderId="1" xfId="0" applyNumberFormat="1" applyFont="1" applyFill="1" applyBorder="1" applyAlignment="1">
      <alignment horizontal="center" vertical="center" wrapText="1"/>
    </xf>
    <xf numFmtId="0" fontId="1" fillId="2" borderId="1" xfId="0" applyFont="1" applyFill="1" applyBorder="1"/>
    <xf numFmtId="0" fontId="2" fillId="3" borderId="1" xfId="0" applyFont="1" applyFill="1" applyBorder="1" applyAlignment="1">
      <alignment vertical="top" wrapText="1"/>
    </xf>
    <xf numFmtId="0" fontId="28" fillId="4" borderId="1" xfId="0" applyFont="1" applyFill="1" applyBorder="1" applyAlignment="1">
      <alignment wrapText="1"/>
    </xf>
    <xf numFmtId="0" fontId="27" fillId="4" borderId="1" xfId="0" applyFont="1" applyFill="1" applyBorder="1" applyAlignment="1">
      <alignment horizontal="center" vertical="center"/>
    </xf>
    <xf numFmtId="164" fontId="36" fillId="4" borderId="1" xfId="0" applyNumberFormat="1" applyFont="1" applyFill="1" applyBorder="1" applyAlignment="1">
      <alignment horizontal="center" vertical="center"/>
    </xf>
    <xf numFmtId="3" fontId="2" fillId="4" borderId="1" xfId="0" applyNumberFormat="1" applyFont="1" applyFill="1" applyBorder="1" applyAlignment="1">
      <alignment horizontal="center" vertical="center"/>
    </xf>
    <xf numFmtId="3" fontId="2" fillId="3" borderId="1" xfId="0" applyNumberFormat="1" applyFont="1" applyFill="1" applyBorder="1" applyAlignment="1">
      <alignment horizontal="center" vertical="center"/>
    </xf>
    <xf numFmtId="3" fontId="36" fillId="4" borderId="1" xfId="0" applyNumberFormat="1" applyFont="1" applyFill="1" applyBorder="1" applyAlignment="1">
      <alignment horizontal="center" vertical="center"/>
    </xf>
    <xf numFmtId="3" fontId="36" fillId="3" borderId="1" xfId="0" applyNumberFormat="1" applyFont="1" applyFill="1" applyBorder="1" applyAlignment="1">
      <alignment horizontal="center" vertical="center"/>
    </xf>
    <xf numFmtId="164" fontId="36" fillId="3" borderId="1" xfId="0" applyNumberFormat="1" applyFont="1" applyFill="1" applyBorder="1" applyAlignment="1">
      <alignment horizontal="center" vertical="center"/>
    </xf>
    <xf numFmtId="0" fontId="2" fillId="3" borderId="1" xfId="0" applyFont="1" applyFill="1" applyBorder="1" applyAlignment="1">
      <alignment horizontal="left" vertical="top" wrapText="1"/>
    </xf>
    <xf numFmtId="3" fontId="2" fillId="0" borderId="0" xfId="0" applyNumberFormat="1" applyFont="1" applyAlignment="1">
      <alignment horizontal="center" vertical="center"/>
    </xf>
    <xf numFmtId="164" fontId="2" fillId="0" borderId="0" xfId="0" applyNumberFormat="1" applyFont="1" applyAlignment="1">
      <alignment horizontal="center" vertical="center"/>
    </xf>
    <xf numFmtId="0" fontId="3" fillId="0" borderId="0" xfId="0" applyFont="1" applyAlignment="1">
      <alignment horizontal="center"/>
    </xf>
    <xf numFmtId="0" fontId="2" fillId="4" borderId="1" xfId="0" applyFont="1" applyFill="1" applyBorder="1" applyAlignment="1">
      <alignment horizontal="left" vertical="center"/>
    </xf>
    <xf numFmtId="0" fontId="35" fillId="4" borderId="1" xfId="0" applyFont="1" applyFill="1" applyBorder="1" applyAlignment="1">
      <alignment horizontal="left" vertical="center" wrapText="1"/>
    </xf>
    <xf numFmtId="0" fontId="2" fillId="0" borderId="1" xfId="0" applyFont="1" applyBorder="1" applyAlignment="1">
      <alignment horizontal="left" vertical="center"/>
    </xf>
    <xf numFmtId="0" fontId="35" fillId="0" borderId="1" xfId="0" applyFont="1" applyBorder="1" applyAlignment="1">
      <alignment horizontal="left" vertical="center" wrapText="1"/>
    </xf>
    <xf numFmtId="0" fontId="35" fillId="0" borderId="1" xfId="0" applyFont="1" applyBorder="1" applyAlignment="1">
      <alignment horizontal="left" vertical="center"/>
    </xf>
    <xf numFmtId="49" fontId="1" fillId="2" borderId="1" xfId="0" applyNumberFormat="1" applyFont="1" applyFill="1" applyBorder="1" applyAlignment="1">
      <alignment vertical="center"/>
    </xf>
    <xf numFmtId="0" fontId="1" fillId="2" borderId="1" xfId="0" applyFont="1" applyFill="1" applyBorder="1" applyAlignment="1">
      <alignment vertical="center" wrapText="1"/>
    </xf>
    <xf numFmtId="49" fontId="1" fillId="3" borderId="1" xfId="0" applyNumberFormat="1" applyFont="1" applyFill="1" applyBorder="1" applyAlignment="1">
      <alignment vertical="center"/>
    </xf>
    <xf numFmtId="0" fontId="2" fillId="3" borderId="1" xfId="0" applyFont="1" applyFill="1" applyBorder="1" applyAlignment="1">
      <alignment vertical="center" wrapText="1"/>
    </xf>
    <xf numFmtId="49" fontId="1" fillId="4" borderId="1" xfId="0" applyNumberFormat="1" applyFont="1" applyFill="1" applyBorder="1" applyAlignment="1">
      <alignment vertical="center"/>
    </xf>
    <xf numFmtId="0" fontId="2" fillId="4" borderId="1" xfId="0" applyFont="1" applyFill="1" applyBorder="1" applyAlignment="1">
      <alignment vertical="center" wrapText="1"/>
    </xf>
    <xf numFmtId="49" fontId="2" fillId="0" borderId="1" xfId="0" applyNumberFormat="1" applyFont="1" applyBorder="1" applyAlignment="1">
      <alignment horizontal="right" vertical="center"/>
    </xf>
    <xf numFmtId="0" fontId="2" fillId="0" borderId="1" xfId="0" applyFont="1" applyBorder="1" applyAlignment="1">
      <alignment vertical="center" wrapText="1"/>
    </xf>
    <xf numFmtId="49" fontId="1" fillId="0" borderId="1" xfId="0" applyNumberFormat="1" applyFont="1" applyBorder="1" applyAlignment="1">
      <alignment vertical="center"/>
    </xf>
    <xf numFmtId="49" fontId="6" fillId="4" borderId="1" xfId="0" applyNumberFormat="1" applyFont="1" applyFill="1" applyBorder="1" applyAlignment="1">
      <alignment vertical="center"/>
    </xf>
    <xf numFmtId="49" fontId="27" fillId="0" borderId="1" xfId="0" applyNumberFormat="1" applyFont="1" applyBorder="1" applyAlignment="1">
      <alignment horizontal="right" vertical="center"/>
    </xf>
    <xf numFmtId="0" fontId="27" fillId="0" borderId="1" xfId="0" applyFont="1" applyBorder="1" applyAlignment="1">
      <alignment vertical="center" wrapText="1"/>
    </xf>
    <xf numFmtId="0" fontId="1" fillId="2" borderId="1" xfId="0" applyFont="1" applyFill="1" applyBorder="1" applyAlignment="1">
      <alignment vertical="center"/>
    </xf>
    <xf numFmtId="49" fontId="7" fillId="0" borderId="1" xfId="0" applyNumberFormat="1" applyFont="1" applyBorder="1" applyAlignment="1">
      <alignment horizontal="right" vertical="center"/>
    </xf>
    <xf numFmtId="0" fontId="7" fillId="0" borderId="1" xfId="0" applyFont="1" applyBorder="1" applyAlignment="1">
      <alignment vertical="center" wrapText="1"/>
    </xf>
    <xf numFmtId="0" fontId="2" fillId="3" borderId="1" xfId="0" applyFont="1" applyFill="1" applyBorder="1" applyAlignment="1">
      <alignment horizontal="left" vertical="center" wrapText="1"/>
    </xf>
    <xf numFmtId="49" fontId="2" fillId="0" borderId="1" xfId="0" applyNumberFormat="1" applyFont="1" applyBorder="1" applyAlignment="1">
      <alignment vertical="center"/>
    </xf>
    <xf numFmtId="49" fontId="35" fillId="0" borderId="0" xfId="0" applyNumberFormat="1" applyFont="1" applyAlignment="1">
      <alignment horizontal="left" vertical="center"/>
    </xf>
    <xf numFmtId="49" fontId="35" fillId="0" borderId="0" xfId="0" applyNumberFormat="1" applyFont="1" applyAlignment="1">
      <alignment vertical="center"/>
    </xf>
    <xf numFmtId="49" fontId="21" fillId="0" borderId="0" xfId="0" applyNumberFormat="1" applyFont="1"/>
    <xf numFmtId="0" fontId="1" fillId="3" borderId="50" xfId="0" applyFont="1" applyFill="1" applyBorder="1" applyAlignment="1">
      <alignment horizontal="center" vertical="center"/>
    </xf>
    <xf numFmtId="4" fontId="41" fillId="15" borderId="63" xfId="0" applyNumberFormat="1" applyFont="1" applyFill="1" applyBorder="1" applyAlignment="1">
      <alignment horizontal="right" vertical="center"/>
    </xf>
    <xf numFmtId="0" fontId="42" fillId="15" borderId="64" xfId="0" applyFont="1" applyFill="1" applyBorder="1" applyAlignment="1">
      <alignment horizontal="left" vertical="center" wrapText="1"/>
    </xf>
    <xf numFmtId="0" fontId="43" fillId="16" borderId="65" xfId="0" applyFont="1" applyFill="1" applyBorder="1" applyAlignment="1">
      <alignment horizontal="center" wrapText="1"/>
    </xf>
    <xf numFmtId="0" fontId="43" fillId="16" borderId="66" xfId="0" applyFont="1" applyFill="1" applyBorder="1" applyAlignment="1">
      <alignment horizontal="left" vertical="center" wrapText="1"/>
    </xf>
    <xf numFmtId="0" fontId="44" fillId="0" borderId="0" xfId="0" applyFont="1" applyAlignment="1">
      <alignment vertical="top"/>
    </xf>
    <xf numFmtId="0" fontId="46" fillId="0" borderId="0" xfId="0" applyFont="1" applyAlignment="1">
      <alignment vertical="top"/>
    </xf>
    <xf numFmtId="0" fontId="2" fillId="0" borderId="1" xfId="0" applyFont="1" applyBorder="1" applyAlignment="1">
      <alignment horizontal="left" vertical="top" wrapText="1"/>
    </xf>
    <xf numFmtId="0" fontId="2" fillId="3" borderId="1" xfId="0" applyFont="1" applyFill="1" applyBorder="1" applyAlignment="1">
      <alignment horizontal="left" vertical="top"/>
    </xf>
    <xf numFmtId="0" fontId="2" fillId="4" borderId="1" xfId="0" applyFont="1" applyFill="1" applyBorder="1" applyAlignment="1">
      <alignment horizontal="left" vertical="top"/>
    </xf>
    <xf numFmtId="0" fontId="2" fillId="0" borderId="1" xfId="0" applyFont="1" applyBorder="1" applyAlignment="1">
      <alignment horizontal="left" vertical="top"/>
    </xf>
    <xf numFmtId="0" fontId="1" fillId="2" borderId="1" xfId="0" applyFont="1" applyFill="1" applyBorder="1" applyAlignment="1">
      <alignment horizontal="left" vertical="top"/>
    </xf>
    <xf numFmtId="0" fontId="1" fillId="2" borderId="1" xfId="0" applyFont="1" applyFill="1" applyBorder="1" applyAlignment="1">
      <alignment horizontal="left" vertical="top" wrapText="1"/>
    </xf>
    <xf numFmtId="0" fontId="27" fillId="4" borderId="1" xfId="0" applyFont="1" applyFill="1" applyBorder="1" applyAlignment="1">
      <alignment horizontal="left" vertical="top"/>
    </xf>
    <xf numFmtId="0" fontId="27" fillId="0" borderId="1" xfId="0" applyFont="1" applyBorder="1" applyAlignment="1">
      <alignment horizontal="left" vertical="top"/>
    </xf>
    <xf numFmtId="0" fontId="7" fillId="0" borderId="1" xfId="0" applyFont="1" applyBorder="1" applyAlignment="1">
      <alignment horizontal="left" vertical="top"/>
    </xf>
    <xf numFmtId="49" fontId="2" fillId="17" borderId="1" xfId="0" applyNumberFormat="1" applyFont="1" applyFill="1" applyBorder="1"/>
    <xf numFmtId="0" fontId="2" fillId="17" borderId="1" xfId="0" applyFont="1" applyFill="1" applyBorder="1" applyAlignment="1">
      <alignment wrapText="1"/>
    </xf>
    <xf numFmtId="49" fontId="2" fillId="17" borderId="1" xfId="0" applyNumberFormat="1" applyFont="1" applyFill="1" applyBorder="1" applyAlignment="1">
      <alignment horizontal="right"/>
    </xf>
    <xf numFmtId="0" fontId="23" fillId="4" borderId="4" xfId="0" applyFont="1" applyFill="1" applyBorder="1" applyAlignment="1">
      <alignment horizontal="left" wrapText="1"/>
    </xf>
    <xf numFmtId="3" fontId="1" fillId="4" borderId="1" xfId="0" applyNumberFormat="1" applyFont="1" applyFill="1" applyBorder="1" applyAlignment="1">
      <alignment vertical="center"/>
    </xf>
    <xf numFmtId="3" fontId="1" fillId="4" borderId="1" xfId="0" applyNumberFormat="1" applyFont="1" applyFill="1" applyBorder="1" applyAlignment="1">
      <alignment horizontal="right" vertical="center"/>
    </xf>
    <xf numFmtId="164" fontId="1" fillId="4" borderId="1" xfId="0" applyNumberFormat="1" applyFont="1" applyFill="1" applyBorder="1" applyAlignment="1">
      <alignment horizontal="right" vertical="center"/>
    </xf>
    <xf numFmtId="164" fontId="1" fillId="4" borderId="5" xfId="0" applyNumberFormat="1" applyFont="1" applyFill="1" applyBorder="1" applyAlignment="1">
      <alignment horizontal="right" vertical="center"/>
    </xf>
    <xf numFmtId="49" fontId="2" fillId="0" borderId="0" xfId="0" applyNumberFormat="1" applyFont="1" applyAlignment="1">
      <alignment wrapText="1"/>
    </xf>
    <xf numFmtId="49" fontId="27" fillId="0" borderId="0" xfId="0" applyNumberFormat="1" applyFont="1" applyAlignment="1">
      <alignment horizontal="left" vertical="top"/>
    </xf>
    <xf numFmtId="0" fontId="27" fillId="0" borderId="0" xfId="0" applyFont="1" applyAlignment="1">
      <alignment horizontal="left" vertical="top"/>
    </xf>
    <xf numFmtId="49" fontId="2" fillId="0" borderId="1" xfId="0" applyNumberFormat="1" applyFont="1" applyBorder="1"/>
    <xf numFmtId="3" fontId="49" fillId="5" borderId="1" xfId="0" applyNumberFormat="1" applyFont="1" applyFill="1" applyBorder="1" applyAlignment="1">
      <alignment horizontal="center" vertical="center"/>
    </xf>
    <xf numFmtId="0" fontId="2" fillId="0" borderId="1" xfId="0" applyFont="1" applyBorder="1" applyAlignment="1">
      <alignment horizontal="center"/>
    </xf>
    <xf numFmtId="0" fontId="50" fillId="0" borderId="1" xfId="0" applyFont="1" applyBorder="1"/>
    <xf numFmtId="3" fontId="2" fillId="5" borderId="1" xfId="0" applyNumberFormat="1" applyFont="1" applyFill="1" applyBorder="1" applyAlignment="1">
      <alignment horizontal="center" vertical="center"/>
    </xf>
    <xf numFmtId="3" fontId="8" fillId="0" borderId="0" xfId="0" applyNumberFormat="1" applyFont="1"/>
    <xf numFmtId="3" fontId="2" fillId="0" borderId="0" xfId="0" applyNumberFormat="1" applyFont="1" applyAlignment="1">
      <alignment horizontal="left" vertical="center"/>
    </xf>
    <xf numFmtId="3" fontId="2" fillId="0" borderId="0" xfId="2" applyNumberFormat="1" applyFont="1" applyBorder="1" applyAlignment="1">
      <alignment horizontal="left" vertical="center"/>
    </xf>
    <xf numFmtId="3" fontId="2" fillId="0" borderId="0" xfId="0" applyNumberFormat="1" applyFont="1" applyAlignment="1">
      <alignment horizontal="left"/>
    </xf>
    <xf numFmtId="0" fontId="2" fillId="0" borderId="0" xfId="0" applyFont="1" applyAlignment="1">
      <alignment horizontal="left"/>
    </xf>
    <xf numFmtId="0" fontId="50" fillId="0" borderId="0" xfId="0" applyFont="1"/>
    <xf numFmtId="3" fontId="50" fillId="0" borderId="0" xfId="0" applyNumberFormat="1" applyFont="1"/>
    <xf numFmtId="0" fontId="2" fillId="0" borderId="1" xfId="0" applyFont="1" applyBorder="1" applyAlignment="1">
      <alignment horizontal="left"/>
    </xf>
    <xf numFmtId="0" fontId="53" fillId="0" borderId="1" xfId="0" applyFont="1" applyBorder="1" applyAlignment="1">
      <alignment horizontal="center"/>
    </xf>
    <xf numFmtId="3" fontId="53" fillId="0" borderId="1" xfId="0" applyNumberFormat="1" applyFont="1" applyBorder="1" applyAlignment="1">
      <alignment horizontal="center"/>
    </xf>
    <xf numFmtId="3" fontId="53" fillId="0" borderId="1" xfId="0" applyNumberFormat="1" applyFont="1" applyBorder="1"/>
    <xf numFmtId="0" fontId="53" fillId="0" borderId="1" xfId="0" applyFont="1" applyBorder="1"/>
    <xf numFmtId="0" fontId="53" fillId="0" borderId="1" xfId="0" applyFont="1" applyBorder="1" applyAlignment="1">
      <alignment horizontal="center" wrapText="1"/>
    </xf>
    <xf numFmtId="0" fontId="0" fillId="0" borderId="1" xfId="0" applyBorder="1"/>
    <xf numFmtId="3" fontId="0" fillId="0" borderId="1" xfId="0" applyNumberFormat="1" applyBorder="1"/>
    <xf numFmtId="0" fontId="54" fillId="0" borderId="1" xfId="0" applyFont="1" applyBorder="1"/>
    <xf numFmtId="0" fontId="1" fillId="0" borderId="1" xfId="0" applyFont="1" applyBorder="1"/>
    <xf numFmtId="3" fontId="1" fillId="0" borderId="1" xfId="0" applyNumberFormat="1" applyFont="1" applyBorder="1"/>
    <xf numFmtId="49" fontId="2" fillId="13" borderId="1" xfId="0" applyNumberFormat="1" applyFont="1" applyFill="1" applyBorder="1"/>
    <xf numFmtId="0" fontId="2" fillId="13" borderId="1" xfId="0" applyFont="1" applyFill="1" applyBorder="1"/>
    <xf numFmtId="49" fontId="3" fillId="0" borderId="0" xfId="0" applyNumberFormat="1" applyFont="1"/>
    <xf numFmtId="49" fontId="27" fillId="0" borderId="0" xfId="0" applyNumberFormat="1" applyFont="1"/>
    <xf numFmtId="3" fontId="2" fillId="0" borderId="1" xfId="0" applyNumberFormat="1" applyFont="1" applyBorder="1"/>
    <xf numFmtId="0" fontId="56" fillId="0" borderId="62" xfId="0" applyFont="1" applyBorder="1" applyAlignment="1">
      <alignment horizontal="center" vertical="center" wrapText="1"/>
    </xf>
    <xf numFmtId="0" fontId="56" fillId="0" borderId="0" xfId="0" applyFont="1"/>
    <xf numFmtId="0" fontId="11" fillId="0" borderId="1" xfId="0" applyFont="1" applyBorder="1" applyAlignment="1">
      <alignment horizontal="center" vertical="center" wrapText="1"/>
    </xf>
    <xf numFmtId="0" fontId="58" fillId="0" borderId="1" xfId="0" applyFont="1" applyBorder="1" applyAlignment="1">
      <alignment horizontal="center" vertical="center" wrapText="1"/>
    </xf>
    <xf numFmtId="0" fontId="58" fillId="0" borderId="0" xfId="0" applyFont="1" applyAlignment="1">
      <alignment horizontal="center" vertical="center" wrapText="1"/>
    </xf>
    <xf numFmtId="1" fontId="59" fillId="0" borderId="1" xfId="0" applyNumberFormat="1" applyFont="1" applyBorder="1" applyAlignment="1">
      <alignment horizontal="center" vertical="center" wrapText="1"/>
    </xf>
    <xf numFmtId="1" fontId="60" fillId="17" borderId="1" xfId="0" applyNumberFormat="1" applyFont="1" applyFill="1" applyBorder="1" applyAlignment="1">
      <alignment horizontal="center" vertical="center" wrapText="1"/>
    </xf>
    <xf numFmtId="0" fontId="54" fillId="0" borderId="0" xfId="0" applyFont="1" applyAlignment="1">
      <alignment horizontal="center" vertical="center"/>
    </xf>
    <xf numFmtId="0" fontId="55" fillId="0" borderId="52" xfId="0" applyFont="1" applyBorder="1" applyAlignment="1">
      <alignment horizontal="center" vertical="center" wrapText="1"/>
    </xf>
    <xf numFmtId="0" fontId="55" fillId="0" borderId="1" xfId="0" applyFont="1" applyBorder="1" applyAlignment="1">
      <alignment horizontal="center" vertical="center"/>
    </xf>
    <xf numFmtId="0" fontId="55" fillId="18" borderId="1" xfId="0" applyFont="1" applyFill="1" applyBorder="1" applyAlignment="1">
      <alignment horizontal="center" vertical="center" wrapText="1"/>
    </xf>
    <xf numFmtId="0" fontId="55" fillId="19" borderId="52" xfId="0" applyFont="1" applyFill="1" applyBorder="1" applyAlignment="1">
      <alignment horizontal="center" vertical="center" wrapText="1"/>
    </xf>
    <xf numFmtId="1" fontId="55" fillId="18" borderId="1" xfId="0" applyNumberFormat="1" applyFont="1" applyFill="1" applyBorder="1" applyAlignment="1">
      <alignment horizontal="center" vertical="center" wrapText="1"/>
    </xf>
    <xf numFmtId="1" fontId="55" fillId="19" borderId="1" xfId="0" applyNumberFormat="1" applyFont="1" applyFill="1" applyBorder="1" applyAlignment="1">
      <alignment horizontal="center" vertical="center" wrapText="1"/>
    </xf>
    <xf numFmtId="1" fontId="55" fillId="0" borderId="1" xfId="0" applyNumberFormat="1" applyFont="1" applyBorder="1" applyAlignment="1">
      <alignment horizontal="center" vertical="center" wrapText="1"/>
    </xf>
    <xf numFmtId="0" fontId="55" fillId="0" borderId="1" xfId="0" applyFont="1" applyBorder="1" applyAlignment="1">
      <alignment horizontal="center" vertical="center" wrapText="1"/>
    </xf>
    <xf numFmtId="0" fontId="1" fillId="0" borderId="0" xfId="0" applyFont="1" applyAlignment="1">
      <alignment horizontal="center" vertical="center"/>
    </xf>
    <xf numFmtId="3" fontId="1" fillId="0" borderId="0" xfId="0" applyNumberFormat="1" applyFont="1" applyAlignment="1">
      <alignment horizontal="center" vertical="center"/>
    </xf>
    <xf numFmtId="0" fontId="56" fillId="0" borderId="1" xfId="0" applyFont="1" applyBorder="1" applyAlignment="1">
      <alignment horizontal="left" vertical="center" wrapText="1"/>
    </xf>
    <xf numFmtId="4" fontId="56" fillId="18" borderId="1" xfId="0" applyNumberFormat="1" applyFont="1" applyFill="1" applyBorder="1" applyAlignment="1">
      <alignment horizontal="right" vertical="center"/>
    </xf>
    <xf numFmtId="4" fontId="56" fillId="19" borderId="1" xfId="0" applyNumberFormat="1" applyFont="1" applyFill="1" applyBorder="1" applyAlignment="1">
      <alignment horizontal="right" vertical="center"/>
    </xf>
    <xf numFmtId="4" fontId="56" fillId="0" borderId="1" xfId="0" applyNumberFormat="1" applyFont="1" applyBorder="1" applyAlignment="1">
      <alignment horizontal="right" vertical="center"/>
    </xf>
    <xf numFmtId="0" fontId="1" fillId="0" borderId="0" xfId="0" applyFont="1" applyAlignment="1">
      <alignment horizontal="left"/>
    </xf>
    <xf numFmtId="1" fontId="55" fillId="0" borderId="0" xfId="0" applyNumberFormat="1" applyFont="1" applyAlignment="1">
      <alignment wrapText="1"/>
    </xf>
    <xf numFmtId="4" fontId="55" fillId="20" borderId="1" xfId="0" applyNumberFormat="1" applyFont="1" applyFill="1" applyBorder="1"/>
    <xf numFmtId="4" fontId="56" fillId="20" borderId="1" xfId="0" applyNumberFormat="1" applyFont="1" applyFill="1" applyBorder="1"/>
    <xf numFmtId="0" fontId="56" fillId="0" borderId="0" xfId="0" applyFont="1" applyAlignment="1">
      <alignment wrapText="1"/>
    </xf>
    <xf numFmtId="1" fontId="56" fillId="0" borderId="0" xfId="0" applyNumberFormat="1" applyFont="1"/>
    <xf numFmtId="0" fontId="57" fillId="0" borderId="0" xfId="0" applyFont="1"/>
    <xf numFmtId="3" fontId="57" fillId="0" borderId="0" xfId="0" applyNumberFormat="1" applyFont="1"/>
    <xf numFmtId="164" fontId="57" fillId="0" borderId="0" xfId="0" applyNumberFormat="1" applyFont="1"/>
    <xf numFmtId="0" fontId="0" fillId="0" borderId="0" xfId="0" applyAlignment="1">
      <alignment wrapText="1"/>
    </xf>
    <xf numFmtId="1" fontId="0" fillId="0" borderId="0" xfId="0" applyNumberFormat="1"/>
    <xf numFmtId="4" fontId="62" fillId="0" borderId="0" xfId="0" applyNumberFormat="1" applyFont="1" applyAlignment="1">
      <alignment horizontal="right" vertical="center"/>
    </xf>
    <xf numFmtId="1" fontId="63" fillId="0" borderId="0" xfId="0" applyNumberFormat="1" applyFont="1"/>
    <xf numFmtId="1" fontId="64" fillId="0" borderId="0" xfId="0" applyNumberFormat="1" applyFont="1"/>
    <xf numFmtId="3" fontId="62" fillId="0" borderId="0" xfId="0" applyNumberFormat="1" applyFont="1" applyAlignment="1">
      <alignment horizontal="right" vertical="center"/>
    </xf>
    <xf numFmtId="0" fontId="23" fillId="4" borderId="2" xfId="0" applyFont="1" applyFill="1" applyBorder="1" applyAlignment="1">
      <alignment horizontal="left" wrapText="1"/>
    </xf>
    <xf numFmtId="3" fontId="23" fillId="4" borderId="3" xfId="0" applyNumberFormat="1" applyFont="1" applyFill="1" applyBorder="1" applyAlignment="1">
      <alignment horizontal="right" wrapText="1"/>
    </xf>
    <xf numFmtId="0" fontId="23" fillId="4" borderId="3" xfId="0" applyFont="1" applyFill="1" applyBorder="1" applyAlignment="1">
      <alignment horizontal="left" wrapText="1"/>
    </xf>
    <xf numFmtId="3" fontId="23" fillId="4" borderId="3" xfId="0" applyNumberFormat="1" applyFont="1" applyFill="1" applyBorder="1" applyAlignment="1">
      <alignment horizontal="left" wrapText="1"/>
    </xf>
    <xf numFmtId="0" fontId="23" fillId="4" borderId="3" xfId="0" applyFont="1" applyFill="1" applyBorder="1" applyAlignment="1">
      <alignment horizontal="right" wrapText="1"/>
    </xf>
    <xf numFmtId="0" fontId="23" fillId="4" borderId="23" xfId="0" applyFont="1" applyFill="1" applyBorder="1" applyAlignment="1">
      <alignment horizontal="right" wrapText="1"/>
    </xf>
    <xf numFmtId="0" fontId="23" fillId="4" borderId="6" xfId="0" applyFont="1" applyFill="1" applyBorder="1" applyAlignment="1">
      <alignment horizontal="left" wrapText="1"/>
    </xf>
    <xf numFmtId="3" fontId="23" fillId="4" borderId="7" xfId="0" applyNumberFormat="1" applyFont="1" applyFill="1" applyBorder="1" applyAlignment="1">
      <alignment horizontal="right" wrapText="1"/>
    </xf>
    <xf numFmtId="0" fontId="23" fillId="4" borderId="7" xfId="0" applyFont="1" applyFill="1" applyBorder="1" applyAlignment="1">
      <alignment horizontal="left" wrapText="1"/>
    </xf>
    <xf numFmtId="3" fontId="23" fillId="4" borderId="7" xfId="0" applyNumberFormat="1" applyFont="1" applyFill="1" applyBorder="1" applyAlignment="1">
      <alignment horizontal="left" wrapText="1"/>
    </xf>
    <xf numFmtId="0" fontId="23" fillId="4" borderId="7" xfId="0" applyFont="1" applyFill="1" applyBorder="1" applyAlignment="1">
      <alignment horizontal="right" wrapText="1"/>
    </xf>
    <xf numFmtId="0" fontId="23" fillId="4" borderId="8" xfId="0" applyFont="1" applyFill="1" applyBorder="1" applyAlignment="1">
      <alignment horizontal="right" wrapText="1"/>
    </xf>
    <xf numFmtId="49" fontId="2" fillId="9" borderId="1" xfId="0" applyNumberFormat="1" applyFont="1" applyFill="1" applyBorder="1"/>
    <xf numFmtId="0" fontId="2" fillId="9" borderId="1" xfId="0" applyFont="1" applyFill="1" applyBorder="1"/>
    <xf numFmtId="0" fontId="16" fillId="9" borderId="1" xfId="0" applyFont="1" applyFill="1" applyBorder="1" applyAlignment="1">
      <alignment horizontal="center" vertical="center" wrapText="1"/>
    </xf>
    <xf numFmtId="3" fontId="53" fillId="0" borderId="67" xfId="0" applyNumberFormat="1" applyFont="1" applyBorder="1"/>
    <xf numFmtId="3" fontId="53" fillId="17" borderId="67" xfId="0" applyNumberFormat="1" applyFont="1" applyFill="1" applyBorder="1"/>
    <xf numFmtId="3" fontId="55" fillId="0" borderId="1" xfId="0" applyNumberFormat="1" applyFont="1" applyBorder="1" applyAlignment="1">
      <alignment horizontal="right" vertical="center"/>
    </xf>
    <xf numFmtId="4" fontId="66" fillId="0" borderId="0" xfId="0" applyNumberFormat="1" applyFont="1"/>
    <xf numFmtId="3" fontId="55" fillId="20" borderId="1" xfId="0" applyNumberFormat="1" applyFont="1" applyFill="1" applyBorder="1"/>
    <xf numFmtId="4" fontId="0" fillId="0" borderId="0" xfId="0" applyNumberFormat="1"/>
    <xf numFmtId="3" fontId="56" fillId="0" borderId="0" xfId="0" applyNumberFormat="1" applyFont="1"/>
    <xf numFmtId="49" fontId="1" fillId="0" borderId="1" xfId="0" applyNumberFormat="1" applyFont="1" applyBorder="1" applyAlignment="1">
      <alignment horizontal="left" vertical="top" wrapText="1"/>
    </xf>
    <xf numFmtId="0" fontId="27" fillId="0" borderId="1" xfId="0" applyFont="1" applyBorder="1" applyAlignment="1">
      <alignment horizontal="left" vertical="top" wrapText="1"/>
    </xf>
    <xf numFmtId="49" fontId="2" fillId="0" borderId="1" xfId="0" applyNumberFormat="1" applyFont="1" applyBorder="1" applyAlignment="1">
      <alignment horizontal="left" vertical="top" wrapText="1"/>
    </xf>
    <xf numFmtId="0" fontId="33" fillId="0" borderId="1" xfId="0" applyFont="1" applyBorder="1" applyAlignment="1">
      <alignment horizontal="left" vertical="top" wrapText="1"/>
    </xf>
    <xf numFmtId="49" fontId="1" fillId="3" borderId="1" xfId="0" applyNumberFormat="1" applyFont="1" applyFill="1" applyBorder="1" applyAlignment="1">
      <alignment horizontal="left" vertical="top" wrapText="1"/>
    </xf>
    <xf numFmtId="0" fontId="1" fillId="3" borderId="1" xfId="0" applyFont="1" applyFill="1" applyBorder="1" applyAlignment="1">
      <alignment horizontal="left" vertical="top" wrapText="1"/>
    </xf>
    <xf numFmtId="49" fontId="2" fillId="0" borderId="1" xfId="0" applyNumberFormat="1" applyFont="1" applyBorder="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49" fontId="6" fillId="0" borderId="1" xfId="0" applyNumberFormat="1" applyFont="1" applyBorder="1" applyAlignment="1">
      <alignment horizontal="left" vertical="top" wrapText="1"/>
    </xf>
    <xf numFmtId="49" fontId="27" fillId="0" borderId="1" xfId="0" applyNumberFormat="1" applyFont="1" applyBorder="1" applyAlignment="1">
      <alignment horizontal="left" vertical="top" wrapText="1"/>
    </xf>
    <xf numFmtId="0" fontId="27" fillId="5" borderId="1" xfId="0" applyFont="1" applyFill="1" applyBorder="1" applyAlignment="1">
      <alignment horizontal="left" vertical="top" wrapText="1"/>
    </xf>
    <xf numFmtId="49" fontId="27" fillId="0" borderId="1" xfId="0" applyNumberFormat="1"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7" fillId="0" borderId="1" xfId="0" applyFont="1" applyBorder="1" applyAlignment="1" applyProtection="1">
      <alignment horizontal="left" vertical="top" wrapText="1"/>
      <protection locked="0"/>
    </xf>
    <xf numFmtId="0" fontId="2" fillId="0" borderId="0" xfId="0" applyFont="1" applyAlignment="1" applyProtection="1">
      <alignment horizontal="left" vertical="top"/>
      <protection locked="0"/>
    </xf>
    <xf numFmtId="49" fontId="1" fillId="0" borderId="1" xfId="0" applyNumberFormat="1" applyFont="1" applyBorder="1" applyAlignment="1" applyProtection="1">
      <alignment horizontal="left" vertical="top" wrapText="1"/>
      <protection locked="0"/>
    </xf>
    <xf numFmtId="49" fontId="6" fillId="0" borderId="1" xfId="0" applyNumberFormat="1" applyFont="1" applyBorder="1" applyAlignment="1" applyProtection="1">
      <alignment horizontal="left" vertical="top" wrapText="1"/>
      <protection locked="0"/>
    </xf>
    <xf numFmtId="0" fontId="68" fillId="0" borderId="1" xfId="0" applyFont="1" applyBorder="1" applyAlignment="1" applyProtection="1">
      <alignment horizontal="left" vertical="top" wrapText="1"/>
      <protection locked="0"/>
    </xf>
    <xf numFmtId="49" fontId="2" fillId="0" borderId="1" xfId="0" applyNumberFormat="1" applyFont="1" applyBorder="1" applyAlignment="1">
      <alignment horizontal="left" vertical="top"/>
    </xf>
    <xf numFmtId="0" fontId="2" fillId="5" borderId="1" xfId="0" applyFont="1" applyFill="1" applyBorder="1"/>
    <xf numFmtId="49" fontId="2" fillId="5" borderId="1" xfId="0" applyNumberFormat="1" applyFont="1" applyFill="1" applyBorder="1" applyAlignment="1">
      <alignment horizontal="right"/>
    </xf>
    <xf numFmtId="0" fontId="2" fillId="5" borderId="1" xfId="0" applyFont="1" applyFill="1" applyBorder="1" applyAlignment="1">
      <alignment wrapText="1"/>
    </xf>
    <xf numFmtId="49" fontId="2" fillId="5" borderId="1" xfId="0" applyNumberFormat="1" applyFont="1" applyFill="1" applyBorder="1"/>
    <xf numFmtId="0" fontId="2" fillId="5" borderId="1" xfId="0" applyFont="1" applyFill="1" applyBorder="1" applyAlignment="1">
      <alignment horizontal="center" vertical="center"/>
    </xf>
    <xf numFmtId="3" fontId="52" fillId="5" borderId="1" xfId="0" applyNumberFormat="1" applyFont="1" applyFill="1" applyBorder="1" applyAlignment="1">
      <alignment horizontal="center" vertical="center"/>
    </xf>
    <xf numFmtId="0" fontId="24" fillId="4" borderId="38" xfId="0" applyFont="1" applyFill="1" applyBorder="1" applyAlignment="1">
      <alignment horizontal="left"/>
    </xf>
    <xf numFmtId="0" fontId="70" fillId="0" borderId="1" xfId="0" applyFont="1" applyBorder="1" applyAlignment="1">
      <alignment horizontal="center"/>
    </xf>
    <xf numFmtId="3" fontId="70" fillId="0" borderId="1" xfId="0" applyNumberFormat="1" applyFont="1" applyBorder="1" applyAlignment="1">
      <alignment horizontal="center"/>
    </xf>
    <xf numFmtId="3" fontId="70" fillId="0" borderId="1" xfId="0" applyNumberFormat="1" applyFont="1" applyBorder="1"/>
    <xf numFmtId="0" fontId="70" fillId="0" borderId="1" xfId="0" applyFont="1" applyBorder="1"/>
    <xf numFmtId="0" fontId="70" fillId="0" borderId="1" xfId="0" applyFont="1" applyBorder="1" applyAlignment="1">
      <alignment horizontal="right"/>
    </xf>
    <xf numFmtId="0" fontId="70" fillId="0" borderId="0" xfId="0" applyFont="1"/>
    <xf numFmtId="3" fontId="70" fillId="0" borderId="67" xfId="0" applyNumberFormat="1" applyFont="1" applyBorder="1"/>
    <xf numFmtId="0" fontId="54" fillId="0" borderId="1" xfId="0" applyFont="1" applyBorder="1" applyAlignment="1">
      <alignment horizontal="center" vertical="center"/>
    </xf>
    <xf numFmtId="0" fontId="70" fillId="0" borderId="1" xfId="0" applyFont="1" applyBorder="1" applyAlignment="1">
      <alignment horizontal="center" vertical="center"/>
    </xf>
    <xf numFmtId="3" fontId="70" fillId="0" borderId="1" xfId="0" applyNumberFormat="1" applyFont="1" applyBorder="1" applyAlignment="1">
      <alignment horizontal="center" vertical="center"/>
    </xf>
    <xf numFmtId="3" fontId="66" fillId="0" borderId="1" xfId="0" applyNumberFormat="1" applyFont="1" applyBorder="1"/>
    <xf numFmtId="3" fontId="52" fillId="0" borderId="1" xfId="0" applyNumberFormat="1" applyFont="1" applyBorder="1" applyAlignment="1">
      <alignment horizontal="center" vertical="center"/>
    </xf>
    <xf numFmtId="3" fontId="2" fillId="17" borderId="1" xfId="0" applyNumberFormat="1" applyFont="1" applyFill="1" applyBorder="1" applyAlignment="1">
      <alignment horizontal="center" vertical="center"/>
    </xf>
    <xf numFmtId="0" fontId="2" fillId="5" borderId="0" xfId="0" applyFont="1" applyFill="1"/>
    <xf numFmtId="4" fontId="2" fillId="5" borderId="0" xfId="0" applyNumberFormat="1" applyFont="1" applyFill="1"/>
    <xf numFmtId="164" fontId="2" fillId="17" borderId="1" xfId="0" applyNumberFormat="1" applyFont="1" applyFill="1" applyBorder="1" applyAlignment="1">
      <alignment horizontal="center" vertical="center"/>
    </xf>
    <xf numFmtId="0" fontId="2" fillId="0" borderId="0" xfId="0" applyFont="1" applyAlignment="1">
      <alignment horizontal="center" vertical="center"/>
    </xf>
    <xf numFmtId="3" fontId="1" fillId="0" borderId="0" xfId="0" applyNumberFormat="1" applyFont="1" applyAlignment="1">
      <alignment horizontal="center" vertical="center" wrapText="1"/>
    </xf>
    <xf numFmtId="49" fontId="2" fillId="0" borderId="52" xfId="0" applyNumberFormat="1" applyFont="1" applyBorder="1" applyAlignment="1">
      <alignment horizontal="right"/>
    </xf>
    <xf numFmtId="0" fontId="2" fillId="0" borderId="67" xfId="0" applyFont="1" applyBorder="1" applyAlignment="1">
      <alignment horizontal="center" vertical="center" wrapText="1"/>
    </xf>
    <xf numFmtId="3" fontId="2" fillId="0" borderId="73" xfId="0" applyNumberFormat="1" applyFont="1" applyBorder="1"/>
    <xf numFmtId="164" fontId="2" fillId="13" borderId="1" xfId="0" applyNumberFormat="1" applyFont="1" applyFill="1" applyBorder="1" applyAlignment="1">
      <alignment horizontal="center" vertical="center"/>
    </xf>
    <xf numFmtId="0" fontId="2" fillId="0" borderId="54" xfId="0" applyFont="1" applyBorder="1" applyAlignment="1">
      <alignment horizontal="center" vertical="center" wrapText="1"/>
    </xf>
    <xf numFmtId="3" fontId="1" fillId="3" borderId="0" xfId="0" applyNumberFormat="1" applyFont="1" applyFill="1" applyAlignment="1">
      <alignment horizontal="center" vertical="center" wrapText="1"/>
    </xf>
    <xf numFmtId="164" fontId="1" fillId="3" borderId="0" xfId="0" applyNumberFormat="1" applyFont="1" applyFill="1" applyAlignment="1">
      <alignment horizontal="center" vertical="center" wrapText="1"/>
    </xf>
    <xf numFmtId="1" fontId="65" fillId="0" borderId="1" xfId="0" applyNumberFormat="1" applyFont="1" applyBorder="1" applyAlignment="1">
      <alignment horizontal="center" vertical="center" wrapText="1"/>
    </xf>
    <xf numFmtId="0" fontId="2" fillId="0" borderId="1" xfId="0" applyFont="1" applyBorder="1" applyAlignment="1">
      <alignment horizontal="right" vertical="center"/>
    </xf>
    <xf numFmtId="3" fontId="2" fillId="0" borderId="54" xfId="0" applyNumberFormat="1" applyFont="1" applyBorder="1"/>
    <xf numFmtId="3" fontId="2" fillId="0" borderId="52" xfId="0" applyNumberFormat="1" applyFont="1" applyBorder="1"/>
    <xf numFmtId="164" fontId="2" fillId="0" borderId="1" xfId="0" applyNumberFormat="1" applyFont="1" applyBorder="1"/>
    <xf numFmtId="3" fontId="2" fillId="21" borderId="1" xfId="0" applyNumberFormat="1" applyFont="1" applyFill="1" applyBorder="1" applyAlignment="1">
      <alignment horizontal="center" vertical="center"/>
    </xf>
    <xf numFmtId="164" fontId="2" fillId="21" borderId="1" xfId="0" applyNumberFormat="1" applyFont="1" applyFill="1" applyBorder="1" applyAlignment="1">
      <alignment horizontal="center" vertical="center"/>
    </xf>
    <xf numFmtId="0" fontId="71" fillId="0" borderId="1" xfId="0" applyFont="1" applyBorder="1"/>
    <xf numFmtId="0" fontId="27" fillId="0" borderId="0" xfId="0" applyFont="1"/>
    <xf numFmtId="49" fontId="27" fillId="0" borderId="1" xfId="0" applyNumberFormat="1" applyFont="1" applyBorder="1"/>
    <xf numFmtId="0" fontId="27" fillId="0" borderId="1" xfId="0" applyFont="1" applyBorder="1" applyAlignment="1">
      <alignment horizontal="center" vertical="center" wrapText="1"/>
    </xf>
    <xf numFmtId="3" fontId="27" fillId="0" borderId="0" xfId="0" applyNumberFormat="1" applyFont="1"/>
    <xf numFmtId="0" fontId="50" fillId="0" borderId="1" xfId="0" applyFont="1" applyBorder="1" applyAlignment="1">
      <alignment horizontal="left"/>
    </xf>
    <xf numFmtId="49" fontId="1" fillId="20" borderId="1" xfId="0" applyNumberFormat="1" applyFont="1" applyFill="1" applyBorder="1"/>
    <xf numFmtId="0" fontId="2" fillId="20" borderId="1" xfId="0" applyFont="1" applyFill="1" applyBorder="1" applyAlignment="1">
      <alignment wrapText="1"/>
    </xf>
    <xf numFmtId="0" fontId="1" fillId="20" borderId="1" xfId="0" applyFont="1" applyFill="1" applyBorder="1" applyAlignment="1">
      <alignment wrapText="1"/>
    </xf>
    <xf numFmtId="0" fontId="1" fillId="20" borderId="1" xfId="0" applyFont="1" applyFill="1" applyBorder="1" applyAlignment="1">
      <alignment horizontal="center" vertical="center" wrapText="1"/>
    </xf>
    <xf numFmtId="3" fontId="1" fillId="20" borderId="1" xfId="0" applyNumberFormat="1" applyFont="1" applyFill="1" applyBorder="1" applyAlignment="1">
      <alignment horizontal="center" vertical="center" wrapText="1"/>
    </xf>
    <xf numFmtId="49" fontId="1" fillId="22" borderId="0" xfId="0" applyNumberFormat="1" applyFont="1" applyFill="1"/>
    <xf numFmtId="0" fontId="2" fillId="22" borderId="0" xfId="0" applyFont="1" applyFill="1"/>
    <xf numFmtId="1" fontId="60" fillId="0" borderId="1" xfId="0" applyNumberFormat="1" applyFont="1" applyBorder="1" applyAlignment="1">
      <alignment horizontal="center" vertical="center" wrapText="1"/>
    </xf>
    <xf numFmtId="1" fontId="55" fillId="17" borderId="1" xfId="0" applyNumberFormat="1" applyFont="1" applyFill="1" applyBorder="1" applyAlignment="1">
      <alignment horizontal="center" wrapText="1"/>
    </xf>
    <xf numFmtId="49" fontId="2" fillId="0" borderId="1" xfId="0" applyNumberFormat="1" applyFont="1" applyBorder="1" applyAlignment="1">
      <alignment horizontal="left"/>
    </xf>
    <xf numFmtId="0" fontId="2" fillId="9" borderId="1" xfId="0" applyFont="1" applyFill="1" applyBorder="1" applyAlignment="1">
      <alignment horizontal="center" vertical="center" wrapText="1"/>
    </xf>
    <xf numFmtId="0" fontId="6" fillId="0" borderId="1" xfId="0" applyFont="1" applyBorder="1" applyAlignment="1">
      <alignment wrapText="1"/>
    </xf>
    <xf numFmtId="49" fontId="2" fillId="0" borderId="1" xfId="0" applyNumberFormat="1" applyFont="1" applyBorder="1" applyAlignment="1">
      <alignment wrapText="1"/>
    </xf>
    <xf numFmtId="9" fontId="1" fillId="3" borderId="1" xfId="2" applyFont="1" applyFill="1" applyBorder="1" applyAlignment="1">
      <alignment horizontal="center" vertical="center" wrapText="1"/>
    </xf>
    <xf numFmtId="3" fontId="49" fillId="0" borderId="1" xfId="0" applyNumberFormat="1" applyFont="1" applyBorder="1" applyAlignment="1">
      <alignment horizontal="center" vertical="center"/>
    </xf>
    <xf numFmtId="3" fontId="2" fillId="23" borderId="1" xfId="0" applyNumberFormat="1" applyFont="1" applyFill="1" applyBorder="1" applyAlignment="1">
      <alignment horizontal="center" vertical="center"/>
    </xf>
    <xf numFmtId="0" fontId="72" fillId="0" borderId="1" xfId="0" applyFont="1" applyBorder="1"/>
    <xf numFmtId="0" fontId="2" fillId="0" borderId="0" xfId="0" applyFont="1" applyAlignment="1">
      <alignment wrapText="1"/>
    </xf>
    <xf numFmtId="0" fontId="73" fillId="0" borderId="0" xfId="0" applyFont="1"/>
    <xf numFmtId="0" fontId="71" fillId="0" borderId="1" xfId="0" applyFont="1" applyBorder="1" applyAlignment="1">
      <alignment wrapText="1"/>
    </xf>
    <xf numFmtId="0" fontId="19" fillId="0" borderId="0" xfId="1"/>
    <xf numFmtId="0" fontId="72" fillId="0" borderId="1" xfId="0" applyFont="1" applyBorder="1" applyAlignment="1">
      <alignment vertical="center" wrapText="1"/>
    </xf>
    <xf numFmtId="3" fontId="52" fillId="0" borderId="0" xfId="0" applyNumberFormat="1" applyFont="1" applyAlignment="1">
      <alignment horizontal="center" vertical="center"/>
    </xf>
    <xf numFmtId="3" fontId="50" fillId="0" borderId="1" xfId="0" applyNumberFormat="1" applyFont="1" applyBorder="1"/>
    <xf numFmtId="3" fontId="2" fillId="24" borderId="1" xfId="0" applyNumberFormat="1" applyFont="1" applyFill="1" applyBorder="1" applyAlignment="1">
      <alignment horizontal="center" vertical="center"/>
    </xf>
    <xf numFmtId="0" fontId="2" fillId="0" borderId="1" xfId="0" applyFont="1" applyBorder="1" applyAlignment="1">
      <alignment vertical="top" wrapText="1"/>
    </xf>
    <xf numFmtId="3" fontId="2" fillId="0" borderId="1" xfId="0" applyNumberFormat="1" applyFont="1" applyBorder="1" applyAlignment="1">
      <alignment horizontal="right"/>
    </xf>
    <xf numFmtId="3" fontId="2" fillId="24" borderId="0" xfId="0" applyNumberFormat="1" applyFont="1" applyFill="1" applyAlignment="1">
      <alignment horizontal="center" vertical="center"/>
    </xf>
    <xf numFmtId="164" fontId="2" fillId="24" borderId="0" xfId="0" applyNumberFormat="1" applyFont="1" applyFill="1" applyAlignment="1">
      <alignment horizontal="center" vertical="center"/>
    </xf>
    <xf numFmtId="3" fontId="2" fillId="0" borderId="52" xfId="0" applyNumberFormat="1" applyFont="1" applyBorder="1" applyAlignment="1">
      <alignment horizontal="center" vertical="center"/>
    </xf>
    <xf numFmtId="3" fontId="2" fillId="17" borderId="0" xfId="0" applyNumberFormat="1" applyFont="1" applyFill="1"/>
    <xf numFmtId="0" fontId="75" fillId="0" borderId="0" xfId="0" applyFont="1"/>
    <xf numFmtId="0" fontId="77" fillId="0" borderId="55" xfId="0" applyFont="1" applyBorder="1" applyAlignment="1">
      <alignment horizontal="center" vertical="top" wrapText="1" readingOrder="1"/>
    </xf>
    <xf numFmtId="0" fontId="78" fillId="11" borderId="58" xfId="0" applyFont="1" applyFill="1" applyBorder="1" applyAlignment="1">
      <alignment vertical="top" wrapText="1" readingOrder="1"/>
    </xf>
    <xf numFmtId="165" fontId="78" fillId="11" borderId="58" xfId="0" applyNumberFormat="1" applyFont="1" applyFill="1" applyBorder="1" applyAlignment="1">
      <alignment vertical="top" wrapText="1" readingOrder="1"/>
    </xf>
    <xf numFmtId="0" fontId="75" fillId="0" borderId="71" xfId="0" applyFont="1" applyBorder="1" applyAlignment="1">
      <alignment vertical="top" wrapText="1"/>
    </xf>
    <xf numFmtId="166" fontId="78" fillId="11" borderId="58" xfId="0" applyNumberFormat="1" applyFont="1" applyFill="1" applyBorder="1" applyAlignment="1">
      <alignment vertical="top" wrapText="1" readingOrder="1"/>
    </xf>
    <xf numFmtId="0" fontId="75" fillId="0" borderId="72" xfId="0" applyFont="1" applyBorder="1" applyAlignment="1">
      <alignment vertical="top" wrapText="1"/>
    </xf>
    <xf numFmtId="0" fontId="78" fillId="12" borderId="58" xfId="0" applyFont="1" applyFill="1" applyBorder="1" applyAlignment="1">
      <alignment vertical="top" wrapText="1" readingOrder="1"/>
    </xf>
    <xf numFmtId="165" fontId="78" fillId="12" borderId="58" xfId="0" applyNumberFormat="1" applyFont="1" applyFill="1" applyBorder="1" applyAlignment="1">
      <alignment vertical="top" wrapText="1" readingOrder="1"/>
    </xf>
    <xf numFmtId="166" fontId="78" fillId="12" borderId="58" xfId="0" applyNumberFormat="1" applyFont="1" applyFill="1" applyBorder="1" applyAlignment="1">
      <alignment vertical="top" wrapText="1" readingOrder="1"/>
    </xf>
    <xf numFmtId="0" fontId="78" fillId="0" borderId="58" xfId="0" applyFont="1" applyBorder="1" applyAlignment="1">
      <alignment vertical="top" wrapText="1" readingOrder="1"/>
    </xf>
    <xf numFmtId="165" fontId="78" fillId="0" borderId="58" xfId="0" applyNumberFormat="1" applyFont="1" applyBorder="1" applyAlignment="1">
      <alignment vertical="top" wrapText="1" readingOrder="1"/>
    </xf>
    <xf numFmtId="166" fontId="78" fillId="0" borderId="58" xfId="0" applyNumberFormat="1" applyFont="1" applyBorder="1" applyAlignment="1">
      <alignment vertical="top" wrapText="1" readingOrder="1"/>
    </xf>
    <xf numFmtId="0" fontId="1" fillId="3" borderId="50" xfId="0" applyFont="1" applyFill="1" applyBorder="1" applyAlignment="1">
      <alignment horizontal="center" wrapText="1"/>
    </xf>
    <xf numFmtId="0" fontId="1" fillId="3" borderId="51" xfId="0" applyFont="1" applyFill="1" applyBorder="1" applyAlignment="1">
      <alignment horizontal="center" wrapText="1"/>
    </xf>
    <xf numFmtId="0" fontId="1" fillId="3" borderId="49" xfId="0" applyFont="1" applyFill="1" applyBorder="1" applyAlignment="1">
      <alignment horizontal="center" wrapText="1"/>
    </xf>
    <xf numFmtId="0" fontId="1" fillId="14" borderId="62" xfId="0" applyFont="1" applyFill="1" applyBorder="1" applyAlignment="1">
      <alignment horizontal="center"/>
    </xf>
    <xf numFmtId="0" fontId="3" fillId="0" borderId="0" xfId="0" applyFont="1" applyAlignment="1">
      <alignment horizontal="center" wrapText="1"/>
    </xf>
    <xf numFmtId="0" fontId="3" fillId="0" borderId="0" xfId="0" applyFont="1" applyAlignment="1">
      <alignment horizontal="center" vertical="center"/>
    </xf>
    <xf numFmtId="49" fontId="2" fillId="0" borderId="0" xfId="0" applyNumberFormat="1" applyFont="1" applyAlignment="1" applyProtection="1">
      <alignment horizontal="left" wrapText="1"/>
      <protection locked="0"/>
    </xf>
    <xf numFmtId="0" fontId="1" fillId="3" borderId="1" xfId="0" applyFont="1" applyFill="1" applyBorder="1" applyAlignment="1">
      <alignment horizontal="center" vertical="center"/>
    </xf>
    <xf numFmtId="0" fontId="1" fillId="3" borderId="50" xfId="0" applyFont="1" applyFill="1" applyBorder="1" applyAlignment="1">
      <alignment horizontal="center" vertical="center"/>
    </xf>
    <xf numFmtId="0" fontId="1" fillId="3" borderId="51" xfId="0" applyFont="1" applyFill="1" applyBorder="1" applyAlignment="1">
      <alignment horizontal="center" vertical="center"/>
    </xf>
    <xf numFmtId="0" fontId="1" fillId="3" borderId="49" xfId="0" applyFont="1" applyFill="1" applyBorder="1" applyAlignment="1">
      <alignment horizontal="center" vertical="center"/>
    </xf>
    <xf numFmtId="0" fontId="53" fillId="0" borderId="51" xfId="0" applyFont="1" applyBorder="1" applyAlignment="1">
      <alignment horizontal="right"/>
    </xf>
    <xf numFmtId="0" fontId="53" fillId="0" borderId="49" xfId="0" applyFont="1" applyBorder="1" applyAlignment="1">
      <alignment horizontal="right"/>
    </xf>
    <xf numFmtId="0" fontId="53" fillId="0" borderId="54" xfId="0" applyFont="1" applyBorder="1" applyAlignment="1">
      <alignment horizontal="center"/>
    </xf>
    <xf numFmtId="0" fontId="53" fillId="0" borderId="67" xfId="0" applyFont="1" applyBorder="1" applyAlignment="1">
      <alignment horizontal="center"/>
    </xf>
    <xf numFmtId="0" fontId="53" fillId="0" borderId="52" xfId="0" applyFont="1" applyBorder="1" applyAlignment="1">
      <alignment horizontal="center"/>
    </xf>
    <xf numFmtId="0" fontId="53" fillId="0" borderId="1" xfId="0" applyFont="1" applyBorder="1" applyAlignment="1">
      <alignment horizontal="center"/>
    </xf>
    <xf numFmtId="3" fontId="53" fillId="0" borderId="1" xfId="0" applyNumberFormat="1" applyFont="1" applyBorder="1" applyAlignment="1">
      <alignment horizontal="center"/>
    </xf>
    <xf numFmtId="0" fontId="53" fillId="0" borderId="1" xfId="0" applyFont="1" applyBorder="1" applyAlignment="1">
      <alignment horizontal="right"/>
    </xf>
    <xf numFmtId="0" fontId="1" fillId="2" borderId="1" xfId="0" applyFont="1" applyFill="1" applyBorder="1" applyAlignment="1">
      <alignment horizontal="center"/>
    </xf>
    <xf numFmtId="0" fontId="1" fillId="2" borderId="50" xfId="0" applyFont="1" applyFill="1" applyBorder="1" applyAlignment="1">
      <alignment horizontal="center"/>
    </xf>
    <xf numFmtId="0" fontId="1" fillId="2" borderId="51" xfId="0" applyFont="1" applyFill="1" applyBorder="1" applyAlignment="1">
      <alignment horizontal="center"/>
    </xf>
    <xf numFmtId="0" fontId="1" fillId="2" borderId="49" xfId="0" applyFont="1" applyFill="1" applyBorder="1" applyAlignment="1">
      <alignment horizontal="center"/>
    </xf>
    <xf numFmtId="0" fontId="3" fillId="0" borderId="0" xfId="0" applyFont="1" applyAlignment="1">
      <alignment horizontal="center"/>
    </xf>
    <xf numFmtId="0" fontId="11" fillId="0" borderId="48" xfId="0" applyFont="1" applyBorder="1" applyAlignment="1">
      <alignment horizontal="center"/>
    </xf>
    <xf numFmtId="0" fontId="1" fillId="2" borderId="68" xfId="0" applyFont="1" applyFill="1" applyBorder="1" applyAlignment="1">
      <alignment horizontal="center"/>
    </xf>
    <xf numFmtId="0" fontId="1" fillId="2" borderId="69" xfId="0" applyFont="1" applyFill="1" applyBorder="1" applyAlignment="1">
      <alignment horizontal="center"/>
    </xf>
    <xf numFmtId="0" fontId="1" fillId="2" borderId="70" xfId="0" applyFont="1" applyFill="1" applyBorder="1" applyAlignment="1">
      <alignment horizontal="center"/>
    </xf>
    <xf numFmtId="0" fontId="22" fillId="3" borderId="3" xfId="0" applyFont="1" applyFill="1" applyBorder="1" applyAlignment="1">
      <alignment horizontal="center" vertical="center" wrapText="1"/>
    </xf>
    <xf numFmtId="0" fontId="1" fillId="3" borderId="3" xfId="0" applyFont="1" applyFill="1" applyBorder="1" applyAlignment="1">
      <alignment horizontal="center" vertical="center"/>
    </xf>
    <xf numFmtId="0" fontId="1" fillId="3" borderId="23"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3" borderId="59" xfId="0" applyFont="1" applyFill="1" applyBorder="1" applyAlignment="1">
      <alignment horizontal="center" vertical="center"/>
    </xf>
    <xf numFmtId="0" fontId="1" fillId="3" borderId="60" xfId="0" applyFont="1" applyFill="1" applyBorder="1" applyAlignment="1">
      <alignment horizontal="center" vertical="center"/>
    </xf>
    <xf numFmtId="0" fontId="1" fillId="3" borderId="61" xfId="0" applyFont="1" applyFill="1" applyBorder="1" applyAlignment="1">
      <alignment horizontal="center" vertical="center"/>
    </xf>
    <xf numFmtId="0" fontId="70" fillId="0" borderId="1" xfId="0" applyFont="1" applyBorder="1" applyAlignment="1">
      <alignment horizontal="center"/>
    </xf>
    <xf numFmtId="0" fontId="70" fillId="0" borderId="1" xfId="0" applyFont="1" applyBorder="1" applyAlignment="1">
      <alignment horizontal="center" wrapText="1"/>
    </xf>
    <xf numFmtId="0" fontId="70" fillId="0" borderId="1" xfId="0" applyFont="1" applyBorder="1" applyAlignment="1">
      <alignment horizontal="right"/>
    </xf>
    <xf numFmtId="3" fontId="70" fillId="0" borderId="50" xfId="0" applyNumberFormat="1" applyFont="1" applyBorder="1" applyAlignment="1">
      <alignment horizontal="center"/>
    </xf>
    <xf numFmtId="3" fontId="70" fillId="0" borderId="51" xfId="0" applyNumberFormat="1" applyFont="1" applyBorder="1" applyAlignment="1">
      <alignment horizontal="center"/>
    </xf>
    <xf numFmtId="3" fontId="70" fillId="0" borderId="49" xfId="0" applyNumberFormat="1" applyFont="1" applyBorder="1" applyAlignment="1">
      <alignment horizontal="center"/>
    </xf>
    <xf numFmtId="0" fontId="54" fillId="0" borderId="54" xfId="0" applyFont="1" applyBorder="1" applyAlignment="1">
      <alignment horizontal="center"/>
    </xf>
    <xf numFmtId="0" fontId="54" fillId="0" borderId="52" xfId="0" applyFont="1" applyBorder="1" applyAlignment="1">
      <alignment horizontal="center"/>
    </xf>
    <xf numFmtId="0" fontId="70" fillId="0" borderId="54" xfId="0" applyFont="1" applyBorder="1" applyAlignment="1">
      <alignment horizontal="right"/>
    </xf>
    <xf numFmtId="0" fontId="17" fillId="0" borderId="0" xfId="0" applyFont="1" applyAlignment="1">
      <alignment horizontal="center"/>
    </xf>
    <xf numFmtId="0" fontId="16" fillId="9" borderId="1"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18" fillId="8" borderId="53" xfId="0" applyFont="1" applyFill="1" applyBorder="1" applyAlignment="1">
      <alignment horizontal="center" vertical="center" wrapText="1"/>
    </xf>
    <xf numFmtId="0" fontId="18" fillId="8" borderId="62"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13" xfId="0" applyFont="1" applyFill="1" applyBorder="1" applyAlignment="1">
      <alignment horizontal="center" vertical="center" wrapText="1"/>
    </xf>
    <xf numFmtId="0" fontId="9" fillId="6" borderId="16" xfId="0" applyFont="1" applyFill="1" applyBorder="1" applyAlignment="1">
      <alignment horizontal="center" vertical="center" wrapText="1"/>
    </xf>
    <xf numFmtId="0" fontId="9" fillId="6" borderId="17" xfId="0" applyFont="1" applyFill="1" applyBorder="1" applyAlignment="1">
      <alignment horizontal="center" vertical="center" wrapText="1"/>
    </xf>
    <xf numFmtId="0" fontId="9" fillId="6" borderId="46"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6" borderId="18" xfId="0" applyFont="1" applyFill="1" applyBorder="1" applyAlignment="1">
      <alignment horizontal="center" vertical="center" wrapText="1"/>
    </xf>
    <xf numFmtId="166" fontId="78" fillId="12" borderId="58" xfId="0" applyNumberFormat="1" applyFont="1" applyFill="1" applyBorder="1" applyAlignment="1">
      <alignment vertical="top" wrapText="1" readingOrder="1"/>
    </xf>
    <xf numFmtId="0" fontId="75" fillId="0" borderId="72" xfId="0" applyFont="1" applyBorder="1" applyAlignment="1">
      <alignment vertical="top" wrapText="1"/>
    </xf>
    <xf numFmtId="0" fontId="75" fillId="0" borderId="71" xfId="0" applyFont="1" applyBorder="1" applyAlignment="1">
      <alignment vertical="top" wrapText="1"/>
    </xf>
    <xf numFmtId="165" fontId="78" fillId="0" borderId="58" xfId="0" applyNumberFormat="1" applyFont="1" applyBorder="1" applyAlignment="1">
      <alignment vertical="top" wrapText="1" readingOrder="1"/>
    </xf>
    <xf numFmtId="166" fontId="78" fillId="0" borderId="58" xfId="0" applyNumberFormat="1" applyFont="1" applyBorder="1" applyAlignment="1">
      <alignment vertical="top" wrapText="1" readingOrder="1"/>
    </xf>
    <xf numFmtId="165" fontId="78" fillId="12" borderId="58" xfId="0" applyNumberFormat="1" applyFont="1" applyFill="1" applyBorder="1" applyAlignment="1">
      <alignment vertical="top" wrapText="1" readingOrder="1"/>
    </xf>
    <xf numFmtId="0" fontId="74" fillId="0" borderId="0" xfId="0" applyFont="1" applyAlignment="1">
      <alignment wrapText="1" readingOrder="1"/>
    </xf>
    <xf numFmtId="0" fontId="75" fillId="0" borderId="0" xfId="0" applyFont="1"/>
    <xf numFmtId="0" fontId="76" fillId="0" borderId="0" xfId="0" applyFont="1" applyAlignment="1">
      <alignment vertical="top" wrapText="1" readingOrder="1"/>
    </xf>
    <xf numFmtId="0" fontId="77" fillId="0" borderId="55" xfId="0" applyFont="1" applyBorder="1" applyAlignment="1">
      <alignment horizontal="center" vertical="top" wrapText="1" readingOrder="1"/>
    </xf>
    <xf numFmtId="0" fontId="75" fillId="0" borderId="56" xfId="0" applyFont="1" applyBorder="1" applyAlignment="1">
      <alignment vertical="top" wrapText="1"/>
    </xf>
    <xf numFmtId="0" fontId="75" fillId="0" borderId="57" xfId="0" applyFont="1" applyBorder="1" applyAlignment="1">
      <alignment vertical="top" wrapText="1"/>
    </xf>
    <xf numFmtId="165" fontId="78" fillId="11" borderId="58" xfId="0" applyNumberFormat="1" applyFont="1" applyFill="1" applyBorder="1" applyAlignment="1">
      <alignment vertical="top" wrapText="1" readingOrder="1"/>
    </xf>
    <xf numFmtId="0" fontId="76" fillId="0" borderId="0" xfId="0" applyFont="1" applyAlignment="1">
      <alignment horizontal="left" vertical="top" wrapText="1" readingOrder="1"/>
    </xf>
    <xf numFmtId="166" fontId="78" fillId="11" borderId="58" xfId="0" applyNumberFormat="1" applyFont="1" applyFill="1" applyBorder="1" applyAlignment="1">
      <alignment vertical="top" wrapText="1" readingOrder="1"/>
    </xf>
    <xf numFmtId="0" fontId="78" fillId="0" borderId="0" xfId="0" applyFont="1" applyAlignment="1">
      <alignment vertical="top" wrapText="1" readingOrder="1"/>
    </xf>
    <xf numFmtId="0" fontId="78" fillId="0" borderId="0" xfId="0" applyFont="1" applyAlignment="1">
      <alignment horizontal="left" vertical="top" wrapText="1" readingOrder="1"/>
    </xf>
    <xf numFmtId="0" fontId="77" fillId="0" borderId="0" xfId="0" applyFont="1" applyAlignment="1">
      <alignment vertical="top" wrapText="1" readingOrder="1"/>
    </xf>
    <xf numFmtId="0" fontId="55" fillId="0" borderId="0" xfId="0" applyFont="1" applyAlignment="1">
      <alignment horizontal="left" vertical="center" wrapText="1"/>
    </xf>
    <xf numFmtId="0" fontId="55" fillId="20" borderId="1" xfId="0" applyFont="1" applyFill="1" applyBorder="1" applyAlignment="1">
      <alignment horizontal="right" vertical="center"/>
    </xf>
    <xf numFmtId="4" fontId="55" fillId="20" borderId="1" xfId="0" applyNumberFormat="1" applyFont="1" applyFill="1" applyBorder="1" applyAlignment="1">
      <alignment horizontal="center"/>
    </xf>
    <xf numFmtId="4" fontId="55" fillId="20" borderId="50" xfId="0" applyNumberFormat="1" applyFont="1" applyFill="1" applyBorder="1" applyAlignment="1">
      <alignment horizontal="center"/>
    </xf>
    <xf numFmtId="4" fontId="55" fillId="20" borderId="49" xfId="0" applyNumberFormat="1" applyFont="1" applyFill="1" applyBorder="1" applyAlignment="1">
      <alignment horizontal="center"/>
    </xf>
    <xf numFmtId="0" fontId="45" fillId="0" borderId="0" xfId="0" applyFont="1" applyAlignment="1">
      <alignment vertical="top" wrapText="1"/>
    </xf>
    <xf numFmtId="0" fontId="44" fillId="0" borderId="0" xfId="0" applyFont="1" applyAlignment="1">
      <alignment vertical="top" wrapText="1"/>
    </xf>
    <xf numFmtId="0" fontId="0" fillId="0" borderId="0" xfId="0" applyAlignment="1">
      <alignment vertical="top" wrapText="1"/>
    </xf>
  </cellXfs>
  <cellStyles count="4">
    <cellStyle name="Hyperlink" xfId="1" builtinId="8"/>
    <cellStyle name="Normal" xfId="0" builtinId="0"/>
    <cellStyle name="Normal 2" xfId="3" xr:uid="{762CA40A-C6CF-4247-ABDA-619C10121C25}"/>
    <cellStyle name="Percent" xfId="2" builtinId="5"/>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812744719437261"/>
          <c:y val="5.1064464472036004E-2"/>
          <c:w val="0.75564714606698413"/>
          <c:h val="0.78895321497701887"/>
        </c:manualLayout>
      </c:layout>
      <c:barChart>
        <c:barDir val="bar"/>
        <c:grouping val="clustered"/>
        <c:varyColors val="0"/>
        <c:ser>
          <c:idx val="3"/>
          <c:order val="0"/>
          <c:tx>
            <c:strRef>
              <c:f>Grafiks!$I$4</c:f>
              <c:strCache>
                <c:ptCount val="1"/>
                <c:pt idx="0">
                  <c:v>Maksājumu apjoms</c:v>
                </c:pt>
              </c:strCache>
            </c:strRef>
          </c:tx>
          <c:spPr>
            <a:solidFill>
              <a:srgbClr val="92D050"/>
            </a:solidFill>
            <a:ln>
              <a:noFill/>
            </a:ln>
            <a:effectLst/>
          </c:spPr>
          <c:invertIfNegative val="0"/>
          <c:dLbls>
            <c:dLbl>
              <c:idx val="0"/>
              <c:layout>
                <c:manualLayout>
                  <c:x val="-2.6005641073270406E-3"/>
                  <c:y val="8.94381659707654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B54-4644-B480-F39BD6E264A3}"/>
                </c:ext>
              </c:extLst>
            </c:dLbl>
            <c:dLbl>
              <c:idx val="1"/>
              <c:layout>
                <c:manualLayout>
                  <c:x val="1.493887504123559E-3"/>
                  <c:y val="8.317087997574291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B54-4644-B480-F39BD6E264A3}"/>
                </c:ext>
              </c:extLst>
            </c:dLbl>
            <c:dLbl>
              <c:idx val="2"/>
              <c:layout>
                <c:manualLayout>
                  <c:x val="-2.3792584126160242E-3"/>
                  <c:y val="3.332729198398076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B54-4644-B480-F39BD6E264A3}"/>
                </c:ext>
              </c:extLst>
            </c:dLbl>
            <c:dLbl>
              <c:idx val="3"/>
              <c:layout>
                <c:manualLayout>
                  <c:x val="-3.9452085327408353E-4"/>
                  <c:y val="4.301074540500379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FB54-4644-B480-F39BD6E264A3}"/>
                </c:ext>
              </c:extLst>
            </c:dLbl>
            <c:dLbl>
              <c:idx val="4"/>
              <c:layout>
                <c:manualLayout>
                  <c:x val="1.6605333585746255E-4"/>
                  <c:y val="4.158543998787145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FB54-4644-B480-F39BD6E264A3}"/>
                </c:ext>
              </c:extLst>
            </c:dLbl>
            <c:numFmt formatCode="#,##0.00" sourceLinked="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Grafiks!$A$5:$A$11</c:f>
              <c:strCache>
                <c:ptCount val="7"/>
                <c:pt idx="0">
                  <c:v>REACT EU ESF</c:v>
                </c:pt>
                <c:pt idx="1">
                  <c:v>REACT EU ERAF</c:v>
                </c:pt>
                <c:pt idx="2">
                  <c:v>JNI </c:v>
                </c:pt>
                <c:pt idx="3">
                  <c:v>ESF </c:v>
                </c:pt>
                <c:pt idx="4">
                  <c:v>KF</c:v>
                </c:pt>
                <c:pt idx="5">
                  <c:v>ERAF</c:v>
                </c:pt>
                <c:pt idx="6">
                  <c:v>Kopā visi fondi </c:v>
                </c:pt>
              </c:strCache>
            </c:strRef>
          </c:cat>
          <c:val>
            <c:numRef>
              <c:f>Grafiks!$I$5:$I$11</c:f>
              <c:numCache>
                <c:formatCode>#,##0</c:formatCode>
                <c:ptCount val="7"/>
                <c:pt idx="0">
                  <c:v>21128869.52</c:v>
                </c:pt>
                <c:pt idx="1">
                  <c:v>170369875.22000003</c:v>
                </c:pt>
                <c:pt idx="2">
                  <c:v>28810403.620000001</c:v>
                </c:pt>
                <c:pt idx="3">
                  <c:v>667124835.28000021</c:v>
                </c:pt>
                <c:pt idx="4">
                  <c:v>1295013506.5199997</c:v>
                </c:pt>
                <c:pt idx="5">
                  <c:v>2315245571.4000001</c:v>
                </c:pt>
                <c:pt idx="6">
                  <c:v>4497693061.5600004</c:v>
                </c:pt>
              </c:numCache>
            </c:numRef>
          </c:val>
          <c:extLst>
            <c:ext xmlns:c16="http://schemas.microsoft.com/office/drawing/2014/chart" uri="{C3380CC4-5D6E-409C-BE32-E72D297353CC}">
              <c16:uniqueId val="{00000013-FB54-4644-B480-F39BD6E264A3}"/>
            </c:ext>
          </c:extLst>
        </c:ser>
        <c:ser>
          <c:idx val="2"/>
          <c:order val="1"/>
          <c:tx>
            <c:strRef>
              <c:f>Grafiks!$G$3</c:f>
              <c:strCache>
                <c:ptCount val="1"/>
                <c:pt idx="0">
                  <c:v>Noslēgtie līgumi </c:v>
                </c:pt>
              </c:strCache>
            </c:strRef>
          </c:tx>
          <c:spPr>
            <a:solidFill>
              <a:srgbClr val="00B0F0"/>
            </a:solidFill>
            <a:ln>
              <a:noFill/>
            </a:ln>
            <a:effectLst/>
          </c:spPr>
          <c:invertIfNegative val="0"/>
          <c:dLbls>
            <c:dLbl>
              <c:idx val="0"/>
              <c:layout>
                <c:manualLayout>
                  <c:x val="-2.4085880829994121E-4"/>
                  <c:y val="4.059000898343737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B54-4644-B480-F39BD6E264A3}"/>
                </c:ext>
              </c:extLst>
            </c:dLbl>
            <c:dLbl>
              <c:idx val="1"/>
              <c:layout>
                <c:manualLayout>
                  <c:x val="-5.4335436329951683E-3"/>
                  <c:y val="1.10230885964701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B54-4644-B480-F39BD6E264A3}"/>
                </c:ext>
              </c:extLst>
            </c:dLbl>
            <c:dLbl>
              <c:idx val="2"/>
              <c:layout>
                <c:manualLayout>
                  <c:x val="1.1066766032034813E-3"/>
                  <c:y val="7.491273197185222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B54-4644-B480-F39BD6E264A3}"/>
                </c:ext>
              </c:extLst>
            </c:dLbl>
            <c:dLbl>
              <c:idx val="3"/>
              <c:layout>
                <c:manualLayout>
                  <c:x val="4.88827839719679E-6"/>
                  <c:y val="-2.9764696810220473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B54-4644-B480-F39BD6E264A3}"/>
                </c:ext>
              </c:extLst>
            </c:dLbl>
            <c:dLbl>
              <c:idx val="4"/>
              <c:layout>
                <c:manualLayout>
                  <c:x val="5.7163231317918883E-4"/>
                  <c:y val="3.518717622910761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B54-4644-B480-F39BD6E264A3}"/>
                </c:ext>
              </c:extLst>
            </c:dLbl>
            <c:numFmt formatCode="#,##0.00" sourceLinked="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Grafiks!$A$5:$A$11</c:f>
              <c:strCache>
                <c:ptCount val="7"/>
                <c:pt idx="0">
                  <c:v>REACT EU ESF</c:v>
                </c:pt>
                <c:pt idx="1">
                  <c:v>REACT EU ERAF</c:v>
                </c:pt>
                <c:pt idx="2">
                  <c:v>JNI </c:v>
                </c:pt>
                <c:pt idx="3">
                  <c:v>ESF </c:v>
                </c:pt>
                <c:pt idx="4">
                  <c:v>KF</c:v>
                </c:pt>
                <c:pt idx="5">
                  <c:v>ERAF</c:v>
                </c:pt>
                <c:pt idx="6">
                  <c:v>Kopā visi fondi </c:v>
                </c:pt>
              </c:strCache>
            </c:strRef>
          </c:cat>
          <c:val>
            <c:numRef>
              <c:f>Grafiks!$G$5:$G$11</c:f>
              <c:numCache>
                <c:formatCode>#,##0</c:formatCode>
                <c:ptCount val="7"/>
                <c:pt idx="0">
                  <c:v>21467834.219999999</c:v>
                </c:pt>
                <c:pt idx="1">
                  <c:v>172648849.45000002</c:v>
                </c:pt>
                <c:pt idx="2">
                  <c:v>28810403.620000001</c:v>
                </c:pt>
                <c:pt idx="3">
                  <c:v>667741575.72000027</c:v>
                </c:pt>
                <c:pt idx="4">
                  <c:v>1292653271.4099998</c:v>
                </c:pt>
                <c:pt idx="5">
                  <c:v>2345956204.1599998</c:v>
                </c:pt>
                <c:pt idx="6">
                  <c:v>4529278138.5799999</c:v>
                </c:pt>
              </c:numCache>
            </c:numRef>
          </c:val>
          <c:extLst>
            <c:ext xmlns:c16="http://schemas.microsoft.com/office/drawing/2014/chart" uri="{C3380CC4-5D6E-409C-BE32-E72D297353CC}">
              <c16:uniqueId val="{0000000D-FB54-4644-B480-F39BD6E264A3}"/>
            </c:ext>
          </c:extLst>
        </c:ser>
        <c:ser>
          <c:idx val="1"/>
          <c:order val="2"/>
          <c:tx>
            <c:strRef>
              <c:f>Grafiks!$E$3</c:f>
              <c:strCache>
                <c:ptCount val="1"/>
                <c:pt idx="0">
                  <c:v>Apstiprinātie projekti </c:v>
                </c:pt>
              </c:strCache>
            </c:strRef>
          </c:tx>
          <c:spPr>
            <a:solidFill>
              <a:schemeClr val="tx2"/>
            </a:solidFill>
            <a:ln>
              <a:noFill/>
            </a:ln>
            <a:effectLst/>
          </c:spPr>
          <c:invertIfNegative val="0"/>
          <c:dLbls>
            <c:dLbl>
              <c:idx val="0"/>
              <c:layout>
                <c:manualLayout>
                  <c:x val="-6.0288766899185774E-5"/>
                  <c:y val="3.544094564635643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B54-4644-B480-F39BD6E264A3}"/>
                </c:ext>
              </c:extLst>
            </c:dLbl>
            <c:dLbl>
              <c:idx val="1"/>
              <c:layout>
                <c:manualLayout>
                  <c:x val="-1.5421777695022682E-3"/>
                  <c:y val="1.05080185405572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B54-4644-B480-F39BD6E264A3}"/>
                </c:ext>
              </c:extLst>
            </c:dLbl>
            <c:dLbl>
              <c:idx val="2"/>
              <c:layout>
                <c:manualLayout>
                  <c:x val="0"/>
                  <c:y val="5.41200119779164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B54-4644-B480-F39BD6E264A3}"/>
                </c:ext>
              </c:extLst>
            </c:dLbl>
            <c:dLbl>
              <c:idx val="3"/>
              <c:layout>
                <c:manualLayout>
                  <c:x val="-1.8427328261077911E-4"/>
                  <c:y val="6.535462966282885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B54-4644-B480-F39BD6E264A3}"/>
                </c:ext>
              </c:extLst>
            </c:dLbl>
            <c:dLbl>
              <c:idx val="4"/>
              <c:layout>
                <c:manualLayout>
                  <c:x val="-2.9270418524027296E-4"/>
                  <c:y val="2.3831404112734525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B54-4644-B480-F39BD6E264A3}"/>
                </c:ext>
              </c:extLst>
            </c:dLbl>
            <c:numFmt formatCode="#,##0.00" sourceLinked="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Grafiks!$A$5:$A$11</c:f>
              <c:strCache>
                <c:ptCount val="7"/>
                <c:pt idx="0">
                  <c:v>REACT EU ESF</c:v>
                </c:pt>
                <c:pt idx="1">
                  <c:v>REACT EU ERAF</c:v>
                </c:pt>
                <c:pt idx="2">
                  <c:v>JNI </c:v>
                </c:pt>
                <c:pt idx="3">
                  <c:v>ESF </c:v>
                </c:pt>
                <c:pt idx="4">
                  <c:v>KF</c:v>
                </c:pt>
                <c:pt idx="5">
                  <c:v>ERAF</c:v>
                </c:pt>
                <c:pt idx="6">
                  <c:v>Kopā visi fondi </c:v>
                </c:pt>
              </c:strCache>
            </c:strRef>
          </c:cat>
          <c:val>
            <c:numRef>
              <c:f>Grafiks!$E$5:$E$11</c:f>
              <c:numCache>
                <c:formatCode>#,##0</c:formatCode>
                <c:ptCount val="7"/>
                <c:pt idx="0">
                  <c:v>21467834.219999999</c:v>
                </c:pt>
                <c:pt idx="1">
                  <c:v>172648849.45000002</c:v>
                </c:pt>
                <c:pt idx="2">
                  <c:v>28810403.620000001</c:v>
                </c:pt>
                <c:pt idx="3">
                  <c:v>667741575.72000027</c:v>
                </c:pt>
                <c:pt idx="4">
                  <c:v>1292653271.4099998</c:v>
                </c:pt>
                <c:pt idx="5">
                  <c:v>2345956204.1599998</c:v>
                </c:pt>
                <c:pt idx="6">
                  <c:v>4529278138.5799999</c:v>
                </c:pt>
              </c:numCache>
            </c:numRef>
          </c:val>
          <c:extLst>
            <c:ext xmlns:c16="http://schemas.microsoft.com/office/drawing/2014/chart" uri="{C3380CC4-5D6E-409C-BE32-E72D297353CC}">
              <c16:uniqueId val="{00000007-FB54-4644-B480-F39BD6E264A3}"/>
            </c:ext>
          </c:extLst>
        </c:ser>
        <c:ser>
          <c:idx val="0"/>
          <c:order val="3"/>
          <c:tx>
            <c:strRef>
              <c:f>Grafiks!$B$3</c:f>
              <c:strCache>
                <c:ptCount val="1"/>
                <c:pt idx="0">
                  <c:v>Pieejamais ES fondu finansējums</c:v>
                </c:pt>
              </c:strCache>
            </c:strRef>
          </c:tx>
          <c:spPr>
            <a:pattFill prst="wdUpDiag">
              <a:fgClr>
                <a:schemeClr val="accent1">
                  <a:lumMod val="60000"/>
                  <a:lumOff val="40000"/>
                </a:schemeClr>
              </a:fgClr>
              <a:bgClr>
                <a:schemeClr val="bg1"/>
              </a:bgClr>
            </a:pattFill>
            <a:ln>
              <a:solidFill>
                <a:schemeClr val="accent1"/>
              </a:solidFill>
            </a:ln>
            <a:effectLst/>
          </c:spPr>
          <c:invertIfNegative val="0"/>
          <c:dLbls>
            <c:dLbl>
              <c:idx val="4"/>
              <c:layout>
                <c:manualLayout>
                  <c:x val="-1.3524883554133819E-6"/>
                  <c:y val="1.275590335180707E-3"/>
                </c:manualLayout>
              </c:layout>
              <c:dLblPos val="outEnd"/>
              <c:showLegendKey val="0"/>
              <c:showVal val="1"/>
              <c:showCatName val="0"/>
              <c:showSerName val="0"/>
              <c:showPercent val="0"/>
              <c:showBubbleSize val="0"/>
              <c:extLst>
                <c:ext xmlns:c15="http://schemas.microsoft.com/office/drawing/2012/chart" uri="{CE6537A1-D6FC-4f65-9D91-7224C49458BB}">
                  <c15:layout>
                    <c:manualLayout>
                      <c:w val="0.10779467441480196"/>
                      <c:h val="3.6956390321498549E-2"/>
                    </c:manualLayout>
                  </c15:layout>
                </c:ext>
                <c:ext xmlns:c16="http://schemas.microsoft.com/office/drawing/2014/chart" uri="{C3380CC4-5D6E-409C-BE32-E72D297353CC}">
                  <c16:uniqueId val="{00000000-FB54-4644-B480-F39BD6E264A3}"/>
                </c:ext>
              </c:extLst>
            </c:dLbl>
            <c:numFmt formatCode="#,##0.00" sourceLinked="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Grafiks!$A$5:$A$11</c:f>
              <c:strCache>
                <c:ptCount val="7"/>
                <c:pt idx="0">
                  <c:v>REACT EU ESF</c:v>
                </c:pt>
                <c:pt idx="1">
                  <c:v>REACT EU ERAF</c:v>
                </c:pt>
                <c:pt idx="2">
                  <c:v>JNI </c:v>
                </c:pt>
                <c:pt idx="3">
                  <c:v>ESF </c:v>
                </c:pt>
                <c:pt idx="4">
                  <c:v>KF</c:v>
                </c:pt>
                <c:pt idx="5">
                  <c:v>ERAF</c:v>
                </c:pt>
                <c:pt idx="6">
                  <c:v>Kopā visi fondi </c:v>
                </c:pt>
              </c:strCache>
            </c:strRef>
          </c:cat>
          <c:val>
            <c:numRef>
              <c:f>Grafiks!$B$5:$B$11</c:f>
              <c:numCache>
                <c:formatCode>#,##0</c:formatCode>
                <c:ptCount val="7"/>
                <c:pt idx="0">
                  <c:v>22489087</c:v>
                </c:pt>
                <c:pt idx="1">
                  <c:v>199954500</c:v>
                </c:pt>
                <c:pt idx="2">
                  <c:v>29010639</c:v>
                </c:pt>
                <c:pt idx="3">
                  <c:v>675925610</c:v>
                </c:pt>
                <c:pt idx="4">
                  <c:v>1238174873</c:v>
                </c:pt>
                <c:pt idx="5">
                  <c:v>2465883158</c:v>
                </c:pt>
                <c:pt idx="6">
                  <c:v>4640676789</c:v>
                </c:pt>
              </c:numCache>
            </c:numRef>
          </c:val>
          <c:extLst>
            <c:ext xmlns:c16="http://schemas.microsoft.com/office/drawing/2014/chart" uri="{C3380CC4-5D6E-409C-BE32-E72D297353CC}">
              <c16:uniqueId val="{00000001-FB54-4644-B480-F39BD6E264A3}"/>
            </c:ext>
          </c:extLst>
        </c:ser>
        <c:dLbls>
          <c:dLblPos val="outEnd"/>
          <c:showLegendKey val="0"/>
          <c:showVal val="1"/>
          <c:showCatName val="0"/>
          <c:showSerName val="0"/>
          <c:showPercent val="0"/>
          <c:showBubbleSize val="0"/>
        </c:dLbls>
        <c:gapWidth val="0"/>
        <c:overlap val="23"/>
        <c:axId val="165026624"/>
        <c:axId val="165948680"/>
      </c:barChart>
      <c:catAx>
        <c:axId val="165026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crossAx val="165948680"/>
        <c:crosses val="autoZero"/>
        <c:auto val="1"/>
        <c:lblAlgn val="ctr"/>
        <c:lblOffset val="100"/>
        <c:noMultiLvlLbl val="0"/>
      </c:catAx>
      <c:valAx>
        <c:axId val="165948680"/>
        <c:scaling>
          <c:orientation val="minMax"/>
        </c:scaling>
        <c:delete val="0"/>
        <c:axPos val="b"/>
        <c:majorGridlines>
          <c:spPr>
            <a:ln w="9525" cap="flat" cmpd="sng" algn="ct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crossAx val="165026624"/>
        <c:crosses val="autoZero"/>
        <c:crossBetween val="between"/>
        <c:dispUnits>
          <c:builtInUnit val="millions"/>
        </c:dispUnits>
      </c:valAx>
      <c:spPr>
        <a:noFill/>
        <a:ln>
          <a:noFill/>
        </a:ln>
        <a:effectLst/>
      </c:spPr>
    </c:plotArea>
    <c:legend>
      <c:legendPos val="b"/>
      <c:layout>
        <c:manualLayout>
          <c:xMode val="edge"/>
          <c:yMode val="edge"/>
          <c:x val="7.2888302449937992E-3"/>
          <c:y val="0.90741547584193116"/>
          <c:w val="0.97168092257017702"/>
          <c:h val="7.9681300536567509E-2"/>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a:solidFill>
            <a:sysClr val="windowText" lastClr="000000"/>
          </a:solidFill>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512033795404011"/>
          <c:y val="6.5443592887223484E-2"/>
          <c:w val="0.55638118117900848"/>
          <c:h val="0.90592904400680652"/>
        </c:manualLayout>
      </c:layout>
      <c:barChart>
        <c:barDir val="bar"/>
        <c:grouping val="stacked"/>
        <c:varyColors val="0"/>
        <c:ser>
          <c:idx val="2"/>
          <c:order val="1"/>
          <c:tx>
            <c:strRef>
              <c:f>Grafiks_brīvais_fin_pa_AI!$H$3</c:f>
              <c:strCache>
                <c:ptCount val="1"/>
                <c:pt idx="0">
                  <c:v>Maksājumu apjoms (4498 milj. €)</c:v>
                </c:pt>
              </c:strCache>
            </c:strRef>
          </c:tx>
          <c:spPr>
            <a:solidFill>
              <a:schemeClr val="accent5">
                <a:lumMod val="50000"/>
              </a:schemeClr>
            </a:solidFill>
            <a:ln>
              <a:noFill/>
            </a:ln>
            <a:effectLst/>
          </c:spPr>
          <c:invertIfNegative val="0"/>
          <c:dLbls>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0BF-4463-803D-BED34E5E6876}"/>
                </c:ext>
              </c:extLst>
            </c:dLbl>
            <c:dLbl>
              <c:idx val="1"/>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0BF-4463-803D-BED34E5E6876}"/>
                </c:ext>
              </c:extLst>
            </c:dLbl>
            <c:dLbl>
              <c:idx val="2"/>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extLst>
                <c:ext xmlns:c15="http://schemas.microsoft.com/office/drawing/2012/chart" uri="{CE6537A1-D6FC-4f65-9D91-7224C49458BB}">
                  <c15:layout>
                    <c:manualLayout>
                      <c:w val="3.219120986852219E-2"/>
                      <c:h val="3.8336797987011291E-2"/>
                    </c:manualLayout>
                  </c15:layout>
                </c:ext>
                <c:ext xmlns:c16="http://schemas.microsoft.com/office/drawing/2014/chart" uri="{C3380CC4-5D6E-409C-BE32-E72D297353CC}">
                  <c16:uniqueId val="{00000002-30BF-4463-803D-BED34E5E687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solidFill>
                    <a:latin typeface="+mn-lt"/>
                    <a:ea typeface="+mn-ea"/>
                    <a:cs typeface="+mn-cs"/>
                  </a:defRPr>
                </a:pPr>
                <a:endParaRPr lang="lv-LV"/>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Grafiks_brīvais_fin_pa_AI!$H$5:$H$15</c:f>
              <c:numCache>
                <c:formatCode>#,##0.00</c:formatCode>
                <c:ptCount val="11"/>
                <c:pt idx="0">
                  <c:v>8501012.1500000004</c:v>
                </c:pt>
                <c:pt idx="1">
                  <c:v>17479673.399999999</c:v>
                </c:pt>
                <c:pt idx="2">
                  <c:v>36460624.530000001</c:v>
                </c:pt>
                <c:pt idx="3">
                  <c:v>100806240.3</c:v>
                </c:pt>
                <c:pt idx="4">
                  <c:v>126988112.90000001</c:v>
                </c:pt>
                <c:pt idx="5">
                  <c:v>316146400.28999996</c:v>
                </c:pt>
                <c:pt idx="6">
                  <c:v>385415128.04999995</c:v>
                </c:pt>
                <c:pt idx="7">
                  <c:v>736415509.80999994</c:v>
                </c:pt>
                <c:pt idx="8">
                  <c:v>809325170.66999984</c:v>
                </c:pt>
                <c:pt idx="9">
                  <c:v>846279846.61999977</c:v>
                </c:pt>
                <c:pt idx="10">
                  <c:v>1113875342.8400002</c:v>
                </c:pt>
              </c:numCache>
            </c:numRef>
          </c:val>
          <c:extLst xmlns:c15="http://schemas.microsoft.com/office/drawing/2012/chart">
            <c:ext xmlns:c16="http://schemas.microsoft.com/office/drawing/2014/chart" uri="{C3380CC4-5D6E-409C-BE32-E72D297353CC}">
              <c16:uniqueId val="{00000005-30BF-4463-803D-BED34E5E6876}"/>
            </c:ext>
          </c:extLst>
        </c:ser>
        <c:dLbls>
          <c:showLegendKey val="0"/>
          <c:showVal val="0"/>
          <c:showCatName val="0"/>
          <c:showSerName val="0"/>
          <c:showPercent val="0"/>
          <c:showBubbleSize val="0"/>
        </c:dLbls>
        <c:gapWidth val="123"/>
        <c:overlap val="100"/>
        <c:axId val="676862152"/>
        <c:axId val="676860840"/>
      </c:barChart>
      <c:barChart>
        <c:barDir val="bar"/>
        <c:grouping val="stacked"/>
        <c:varyColors val="0"/>
        <c:ser>
          <c:idx val="4"/>
          <c:order val="3"/>
          <c:tx>
            <c:strRef>
              <c:f>Grafiks_brīvais_fin_pa_AI!$J$3</c:f>
              <c:strCache>
                <c:ptCount val="1"/>
                <c:pt idx="0">
                  <c:v>Projektu līgumi, tai skaitā no virssaistībām (4529 milj. €)</c:v>
                </c:pt>
              </c:strCache>
            </c:strRef>
          </c:tx>
          <c:spPr>
            <a:solidFill>
              <a:srgbClr val="0070C0">
                <a:alpha val="61000"/>
              </a:srgbClr>
            </a:solidFill>
            <a:ln>
              <a:noFill/>
            </a:ln>
            <a:effectLst/>
          </c:spPr>
          <c:invertIfNegative val="0"/>
          <c:dLbls>
            <c:dLbl>
              <c:idx val="0"/>
              <c:layout>
                <c:manualLayout>
                  <c:x val="1.3913931573464676E-2"/>
                  <c:y val="-2.2602432669947721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0BF-4463-803D-BED34E5E6876}"/>
                </c:ext>
              </c:extLst>
            </c:dLbl>
            <c:dLbl>
              <c:idx val="1"/>
              <c:layout>
                <c:manualLayout>
                  <c:x val="2.1042815789852672E-2"/>
                  <c:y val="-1.9033627511534923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0BF-4463-803D-BED34E5E6876}"/>
                </c:ext>
              </c:extLst>
            </c:dLbl>
            <c:dLbl>
              <c:idx val="2"/>
              <c:layout>
                <c:manualLayout>
                  <c:x val="2.4311726217050439E-2"/>
                  <c:y val="-2.2602432669947721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0BF-4463-803D-BED34E5E6876}"/>
                </c:ext>
              </c:extLst>
            </c:dLbl>
            <c:dLbl>
              <c:idx val="3"/>
              <c:layout>
                <c:manualLayout>
                  <c:x val="3.2837432165511798E-2"/>
                  <c:y val="-1.8988233886556273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0BF-4463-803D-BED34E5E6876}"/>
                </c:ext>
              </c:extLst>
            </c:dLbl>
            <c:dLbl>
              <c:idx val="4"/>
              <c:layout>
                <c:manualLayout>
                  <c:x val="2.0496877265242835E-2"/>
                  <c:y val="0"/>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0BF-4463-803D-BED34E5E6876}"/>
                </c:ext>
              </c:extLst>
            </c:dLbl>
            <c:dLbl>
              <c:idx val="6"/>
              <c:layout>
                <c:manualLayout>
                  <c:x val="6.786395686437163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0BF-4463-803D-BED34E5E6876}"/>
                </c:ext>
              </c:extLst>
            </c:dLbl>
            <c:dLbl>
              <c:idx val="8"/>
              <c:layout>
                <c:manualLayout>
                  <c:x val="0.15010461956127655"/>
                  <c:y val="-2.5237135603803141E-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0BF-4463-803D-BED34E5E687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solidFill>
                    <a:latin typeface="+mn-lt"/>
                    <a:ea typeface="+mn-ea"/>
                    <a:cs typeface="+mn-cs"/>
                  </a:defRPr>
                </a:pPr>
                <a:endParaRPr lang="lv-LV"/>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Grafiks_brīvais_fin_pa_AI!$J$5:$J$15</c:f>
              <c:numCache>
                <c:formatCode>#,##0.00</c:formatCode>
                <c:ptCount val="11"/>
                <c:pt idx="0">
                  <c:v>8501012.1500000004</c:v>
                </c:pt>
                <c:pt idx="1">
                  <c:v>17479673.399999999</c:v>
                </c:pt>
                <c:pt idx="2">
                  <c:v>36460624.560000002</c:v>
                </c:pt>
                <c:pt idx="3">
                  <c:v>100806405.58</c:v>
                </c:pt>
                <c:pt idx="4">
                  <c:v>130290148.34</c:v>
                </c:pt>
                <c:pt idx="5">
                  <c:v>322214366.90999997</c:v>
                </c:pt>
                <c:pt idx="6">
                  <c:v>386011400.57999998</c:v>
                </c:pt>
                <c:pt idx="7">
                  <c:v>737125344.76999998</c:v>
                </c:pt>
                <c:pt idx="8">
                  <c:v>816446257.27999961</c:v>
                </c:pt>
                <c:pt idx="9">
                  <c:v>860769575.8599999</c:v>
                </c:pt>
                <c:pt idx="10">
                  <c:v>1113173329.1500001</c:v>
                </c:pt>
              </c:numCache>
            </c:numRef>
          </c:val>
          <c:extLst>
            <c:ext xmlns:c16="http://schemas.microsoft.com/office/drawing/2014/chart" uri="{C3380CC4-5D6E-409C-BE32-E72D297353CC}">
              <c16:uniqueId val="{0000000D-30BF-4463-803D-BED34E5E6876}"/>
            </c:ext>
          </c:extLst>
        </c:ser>
        <c:ser>
          <c:idx val="5"/>
          <c:order val="4"/>
          <c:tx>
            <c:strRef>
              <c:f>Grafiks_brīvais_fin_pa_AI!$L$3</c:f>
              <c:strCache>
                <c:ptCount val="1"/>
                <c:pt idx="0">
                  <c:v>Nav noslēgti līgumi par fondu finansējumu un virss. (324 milj. €)</c:v>
                </c:pt>
              </c:strCache>
            </c:strRef>
          </c:tx>
          <c:spPr>
            <a:solidFill>
              <a:schemeClr val="bg1">
                <a:lumMod val="75000"/>
                <a:alpha val="79000"/>
              </a:schemeClr>
            </a:solidFill>
            <a:ln>
              <a:noFill/>
            </a:ln>
            <a:effectLst/>
          </c:spPr>
          <c:invertIfNegative val="0"/>
          <c:dLbls>
            <c:dLbl>
              <c:idx val="0"/>
              <c:layout>
                <c:manualLayout>
                  <c:x val="1.6811641282815069E-2"/>
                  <c:y val="2.4976819223593544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0BF-4463-803D-BED34E5E6876}"/>
                </c:ext>
              </c:extLst>
            </c:dLbl>
            <c:dLbl>
              <c:idx val="1"/>
              <c:layout>
                <c:manualLayout>
                  <c:x val="1.7548357905056371E-2"/>
                  <c:y val="2.616389930569836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0BF-4463-803D-BED34E5E6876}"/>
                </c:ext>
              </c:extLst>
            </c:dLbl>
            <c:dLbl>
              <c:idx val="2"/>
              <c:layout>
                <c:manualLayout>
                  <c:x val="1.1654624927125963E-2"/>
                  <c:y val="2.616389930569827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0BF-4463-803D-BED34E5E6876}"/>
                </c:ext>
              </c:extLst>
            </c:dLbl>
            <c:dLbl>
              <c:idx val="3"/>
              <c:layout>
                <c:manualLayout>
                  <c:x val="2.4915524127469377E-2"/>
                  <c:y val="4.8137499392352277E-5"/>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30BF-4463-803D-BED34E5E6876}"/>
                </c:ext>
              </c:extLst>
            </c:dLbl>
            <c:dLbl>
              <c:idx val="4"/>
              <c:layout>
                <c:manualLayout>
                  <c:x val="2.4915524127469377E-2"/>
                  <c:y val="4.8137499392352277E-5"/>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30BF-4463-803D-BED34E5E6876}"/>
                </c:ext>
              </c:extLst>
            </c:dLbl>
            <c:dLbl>
              <c:idx val="5"/>
              <c:layout>
                <c:manualLayout>
                  <c:x val="4.2596723061260597E-2"/>
                  <c:y val="1.3106018402545399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30BF-4463-803D-BED34E5E6876}"/>
                </c:ext>
              </c:extLst>
            </c:dLbl>
            <c:dLbl>
              <c:idx val="6"/>
              <c:layout>
                <c:manualLayout>
                  <c:x val="2.1231941016262874E-2"/>
                  <c:y val="1.7854338730964658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30BF-4463-803D-BED34E5E6876}"/>
                </c:ext>
              </c:extLst>
            </c:dLbl>
            <c:dLbl>
              <c:idx val="7"/>
              <c:layout>
                <c:manualLayout>
                  <c:x val="2.0773088379891077E-3"/>
                  <c:y val="2.422297663602068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30BF-4463-803D-BED34E5E6876}"/>
                </c:ext>
              </c:extLst>
            </c:dLbl>
            <c:dLbl>
              <c:idx val="8"/>
              <c:layout>
                <c:manualLayout>
                  <c:x val="4.7017022794708402E-2"/>
                  <c:y val="1.7854338730964613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30BF-4463-803D-BED34E5E6876}"/>
                </c:ext>
              </c:extLst>
            </c:dLbl>
            <c:dLbl>
              <c:idx val="9"/>
              <c:layout>
                <c:manualLayout>
                  <c:x val="6.0410763023786555E-2"/>
                  <c:y val="1.5432041067362588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0BF-4463-803D-BED34E5E6876}"/>
                </c:ext>
              </c:extLst>
            </c:dLbl>
            <c:dLbl>
              <c:idx val="10"/>
              <c:layout>
                <c:manualLayout>
                  <c:x val="2.4915516070664171E-2"/>
                  <c:y val="4.8183057365791793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0BF-4463-803D-BED34E5E6876}"/>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showLeaderLines val="0"/>
            <c:extLst>
              <c:ext xmlns:c15="http://schemas.microsoft.com/office/drawing/2012/chart" uri="{CE6537A1-D6FC-4f65-9D91-7224C49458BB}">
                <c15:showLeaderLines val="0"/>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Grafiks_brīvais_fin_pa_AI!$L$5:$L$15</c:f>
              <c:numCache>
                <c:formatCode>#,##0.00</c:formatCode>
                <c:ptCount val="11"/>
                <c:pt idx="0">
                  <c:v>68360.849999999627</c:v>
                </c:pt>
                <c:pt idx="1">
                  <c:v>10849.60000000149</c:v>
                </c:pt>
                <c:pt idx="2">
                  <c:v>420891.43999999762</c:v>
                </c:pt>
                <c:pt idx="3">
                  <c:v>509897.42000000179</c:v>
                </c:pt>
                <c:pt idx="4">
                  <c:v>5878595.6599999964</c:v>
                </c:pt>
                <c:pt idx="5">
                  <c:v>38466958.090000033</c:v>
                </c:pt>
                <c:pt idx="6">
                  <c:v>7298002.4200000167</c:v>
                </c:pt>
                <c:pt idx="7">
                  <c:v>55030423.230000019</c:v>
                </c:pt>
                <c:pt idx="8">
                  <c:v>23826741.720000386</c:v>
                </c:pt>
                <c:pt idx="9">
                  <c:v>89844774.140000105</c:v>
                </c:pt>
                <c:pt idx="10">
                  <c:v>102473281.8499999</c:v>
                </c:pt>
              </c:numCache>
            </c:numRef>
          </c:val>
          <c:extLst>
            <c:ext xmlns:c16="http://schemas.microsoft.com/office/drawing/2014/chart" uri="{C3380CC4-5D6E-409C-BE32-E72D297353CC}">
              <c16:uniqueId val="{00000019-30BF-4463-803D-BED34E5E6876}"/>
            </c:ext>
          </c:extLst>
        </c:ser>
        <c:ser>
          <c:idx val="1"/>
          <c:order val="5"/>
          <c:tx>
            <c:strRef>
              <c:f>Grafiks_brīvais_fin_pa_AI!$E$3</c:f>
              <c:strCache>
                <c:ptCount val="1"/>
                <c:pt idx="0">
                  <c:v>MK noteikumos nesadalītais finansējums (12 milj. €)</c:v>
                </c:pt>
              </c:strCache>
            </c:strRef>
          </c:tx>
          <c:spPr>
            <a:solidFill>
              <a:srgbClr val="C00000">
                <a:alpha val="41000"/>
              </a:srgb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1A-30BF-4463-803D-BED34E5E6876}"/>
                </c:ext>
              </c:extLst>
            </c:dLbl>
            <c:dLbl>
              <c:idx val="1"/>
              <c:delete val="1"/>
              <c:extLst>
                <c:ext xmlns:c15="http://schemas.microsoft.com/office/drawing/2012/chart" uri="{CE6537A1-D6FC-4f65-9D91-7224C49458BB}"/>
                <c:ext xmlns:c16="http://schemas.microsoft.com/office/drawing/2014/chart" uri="{C3380CC4-5D6E-409C-BE32-E72D297353CC}">
                  <c16:uniqueId val="{0000001B-30BF-4463-803D-BED34E5E6876}"/>
                </c:ext>
              </c:extLst>
            </c:dLbl>
            <c:dLbl>
              <c:idx val="2"/>
              <c:delete val="1"/>
              <c:extLst>
                <c:ext xmlns:c15="http://schemas.microsoft.com/office/drawing/2012/chart" uri="{CE6537A1-D6FC-4f65-9D91-7224C49458BB}"/>
                <c:ext xmlns:c16="http://schemas.microsoft.com/office/drawing/2014/chart" uri="{C3380CC4-5D6E-409C-BE32-E72D297353CC}">
                  <c16:uniqueId val="{0000001C-30BF-4463-803D-BED34E5E6876}"/>
                </c:ext>
              </c:extLst>
            </c:dLbl>
            <c:dLbl>
              <c:idx val="3"/>
              <c:delete val="1"/>
              <c:extLst>
                <c:ext xmlns:c15="http://schemas.microsoft.com/office/drawing/2012/chart" uri="{CE6537A1-D6FC-4f65-9D91-7224C49458BB}"/>
                <c:ext xmlns:c16="http://schemas.microsoft.com/office/drawing/2014/chart" uri="{C3380CC4-5D6E-409C-BE32-E72D297353CC}">
                  <c16:uniqueId val="{0000001D-30BF-4463-803D-BED34E5E6876}"/>
                </c:ext>
              </c:extLst>
            </c:dLbl>
            <c:dLbl>
              <c:idx val="4"/>
              <c:layout>
                <c:manualLayout>
                  <c:x val="2.7424102235383888E-2"/>
                  <c:y val="-2.3205452716824383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1E-30BF-4463-803D-BED34E5E6876}"/>
                </c:ext>
              </c:extLst>
            </c:dLbl>
            <c:dLbl>
              <c:idx val="5"/>
              <c:layout>
                <c:manualLayout>
                  <c:x val="3.3317835213314266E-2"/>
                  <c:y val="-1.8457132388405212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1F-30BF-4463-803D-BED34E5E6876}"/>
                </c:ext>
              </c:extLst>
            </c:dLbl>
            <c:dLbl>
              <c:idx val="6"/>
              <c:layout>
                <c:manualLayout>
                  <c:x val="2.2267085879694757E-2"/>
                  <c:y val="-1.2521731977881053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20-30BF-4463-803D-BED34E5E6876}"/>
                </c:ext>
              </c:extLst>
            </c:dLbl>
            <c:dLbl>
              <c:idx val="7"/>
              <c:delete val="1"/>
              <c:extLst>
                <c:ext xmlns:c15="http://schemas.microsoft.com/office/drawing/2012/chart" uri="{CE6537A1-D6FC-4f65-9D91-7224C49458BB}"/>
                <c:ext xmlns:c16="http://schemas.microsoft.com/office/drawing/2014/chart" uri="{C3380CC4-5D6E-409C-BE32-E72D297353CC}">
                  <c16:uniqueId val="{00000021-30BF-4463-803D-BED34E5E6876}"/>
                </c:ext>
              </c:extLst>
            </c:dLbl>
            <c:dLbl>
              <c:idx val="8"/>
              <c:layout>
                <c:manualLayout>
                  <c:x val="3.8474851569003377E-2"/>
                  <c:y val="-1.9644212470509983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90795392911E-2"/>
                      <c:h val="2.7257788927814313E-2"/>
                    </c:manualLayout>
                  </c15:layout>
                </c:ext>
                <c:ext xmlns:c16="http://schemas.microsoft.com/office/drawing/2014/chart" uri="{C3380CC4-5D6E-409C-BE32-E72D297353CC}">
                  <c16:uniqueId val="{00000022-30BF-4463-803D-BED34E5E6876}"/>
                </c:ext>
              </c:extLst>
            </c:dLbl>
            <c:dLbl>
              <c:idx val="9"/>
              <c:layout>
                <c:manualLayout>
                  <c:x val="4.363186792469248E-2"/>
                  <c:y val="-1.9644212470509962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23-30BF-4463-803D-BED34E5E6876}"/>
                </c:ext>
              </c:extLst>
            </c:dLbl>
            <c:dLbl>
              <c:idx val="10"/>
              <c:layout>
                <c:manualLayout>
                  <c:x val="3.2581118591072968E-2"/>
                  <c:y val="-1.9644212470509941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24-30BF-4463-803D-BED34E5E6876}"/>
                </c:ext>
              </c:extLst>
            </c:dLbl>
            <c:numFmt formatCode="#,##0" sourceLinked="0"/>
            <c:spPr>
              <a:noFill/>
              <a:ln>
                <a:noFill/>
              </a:ln>
              <a:effectLst/>
            </c:spPr>
            <c:txPr>
              <a:bodyPr rot="0" spcFirstLastPara="1" vertOverflow="ellipsis" vert="horz" wrap="square" lIns="38100" tIns="19050" rIns="38100" bIns="19050" anchor="ctr" anchorCtr="1">
                <a:no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Grafiks_brīvais_fin_pa_AI!$E$5:$E$15</c:f>
              <c:numCache>
                <c:formatCode>#,##0.00</c:formatCode>
                <c:ptCount val="11"/>
                <c:pt idx="0">
                  <c:v>0</c:v>
                </c:pt>
                <c:pt idx="1">
                  <c:v>0</c:v>
                </c:pt>
                <c:pt idx="2">
                  <c:v>0</c:v>
                </c:pt>
                <c:pt idx="3">
                  <c:v>0</c:v>
                </c:pt>
                <c:pt idx="4">
                  <c:v>0</c:v>
                </c:pt>
                <c:pt idx="5">
                  <c:v>0</c:v>
                </c:pt>
                <c:pt idx="6">
                  <c:v>0</c:v>
                </c:pt>
                <c:pt idx="7">
                  <c:v>1059959</c:v>
                </c:pt>
                <c:pt idx="8">
                  <c:v>3303845</c:v>
                </c:pt>
                <c:pt idx="9">
                  <c:v>7399760</c:v>
                </c:pt>
                <c:pt idx="10">
                  <c:v>0</c:v>
                </c:pt>
              </c:numCache>
            </c:numRef>
          </c:val>
          <c:extLst>
            <c:ext xmlns:c16="http://schemas.microsoft.com/office/drawing/2014/chart" uri="{C3380CC4-5D6E-409C-BE32-E72D297353CC}">
              <c16:uniqueId val="{00000025-30BF-4463-803D-BED34E5E6876}"/>
            </c:ext>
          </c:extLst>
        </c:ser>
        <c:dLbls>
          <c:showLegendKey val="0"/>
          <c:showVal val="0"/>
          <c:showCatName val="0"/>
          <c:showSerName val="0"/>
          <c:showPercent val="0"/>
          <c:showBubbleSize val="0"/>
        </c:dLbls>
        <c:gapWidth val="16"/>
        <c:overlap val="100"/>
        <c:axId val="337727928"/>
        <c:axId val="337720712"/>
        <c:extLst>
          <c:ext xmlns:c15="http://schemas.microsoft.com/office/drawing/2012/chart" uri="{02D57815-91ED-43cb-92C2-25804820EDAC}">
            <c15:filteredBarSeries>
              <c15:ser>
                <c:idx val="0"/>
                <c:order val="0"/>
                <c:tx>
                  <c:strRef>
                    <c:extLst>
                      <c:ext uri="{02D57815-91ED-43cb-92C2-25804820EDAC}">
                        <c15:formulaRef>
                          <c15:sqref>Grafiks_brīvais_fin_pa_AI!$D$3</c15:sqref>
                        </c15:formulaRef>
                      </c:ext>
                    </c:extLst>
                    <c:strCache>
                      <c:ptCount val="1"/>
                      <c:pt idx="0">
                        <c:v>Piešķirtais ES fondu finansējums*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v-LV"/>
                    </a:p>
                  </c:txPr>
                  <c:dLblPos val="in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c:ext uri="{02D57815-91ED-43cb-92C2-25804820EDAC}">
                        <c15:formulaRef>
                          <c15:sqref>Grafiks_brīvais_fin_pa_AI!$D$5:$D$15</c15:sqref>
                        </c15:formulaRef>
                      </c:ext>
                    </c:extLst>
                    <c:numCache>
                      <c:formatCode>#,##0.00</c:formatCode>
                      <c:ptCount val="11"/>
                      <c:pt idx="0">
                        <c:v>8569373</c:v>
                      </c:pt>
                      <c:pt idx="1">
                        <c:v>17490523</c:v>
                      </c:pt>
                      <c:pt idx="2">
                        <c:v>36881516</c:v>
                      </c:pt>
                      <c:pt idx="3">
                        <c:v>101316303</c:v>
                      </c:pt>
                      <c:pt idx="4">
                        <c:v>136168744</c:v>
                      </c:pt>
                      <c:pt idx="5">
                        <c:v>360681325</c:v>
                      </c:pt>
                      <c:pt idx="6">
                        <c:v>393309403</c:v>
                      </c:pt>
                      <c:pt idx="7">
                        <c:v>792155768</c:v>
                      </c:pt>
                      <c:pt idx="8">
                        <c:v>840272999</c:v>
                      </c:pt>
                      <c:pt idx="9">
                        <c:v>950614350</c:v>
                      </c:pt>
                      <c:pt idx="10">
                        <c:v>1215646611</c:v>
                      </c:pt>
                    </c:numCache>
                  </c:numRef>
                </c:val>
                <c:extLst>
                  <c:ext xmlns:c16="http://schemas.microsoft.com/office/drawing/2014/chart" uri="{C3380CC4-5D6E-409C-BE32-E72D297353CC}">
                    <c16:uniqueId val="{00000026-30BF-4463-803D-BED34E5E6876}"/>
                  </c:ext>
                </c:extLst>
              </c15:ser>
            </c15:filteredBarSeries>
            <c15:filteredBarSeries>
              <c15:ser>
                <c:idx val="3"/>
                <c:order val="2"/>
                <c:tx>
                  <c:strRef>
                    <c:extLst xmlns:c15="http://schemas.microsoft.com/office/drawing/2012/chart">
                      <c:ext xmlns:c15="http://schemas.microsoft.com/office/drawing/2012/chart" uri="{02D57815-91ED-43cb-92C2-25804820EDAC}">
                        <c15:formulaRef>
                          <c15:sqref>Grafiks_brīvais_fin_pa_AI!$I$3</c15:sqref>
                        </c15:formulaRef>
                      </c:ext>
                    </c:extLst>
                    <c:strCache>
                      <c:ptCount val="1"/>
                      <c:pt idx="0">
                        <c:v>Līgumos plānotie, bet vēl neveiktie maksājumi (355 milj.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v-LV"/>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strRef>
                    <c:extLst xmlns:c15="http://schemas.microsoft.com/office/drawing/2012/chart">
                      <c:ext xmlns:c15="http://schemas.microsoft.com/office/drawing/2012/char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xmlns:c15="http://schemas.microsoft.com/office/drawing/2012/chart">
                      <c:ext xmlns:c15="http://schemas.microsoft.com/office/drawing/2012/chart" uri="{02D57815-91ED-43cb-92C2-25804820EDAC}">
                        <c15:formulaRef>
                          <c15:sqref>Grafiks_brīvais_fin_pa_AI!$I$5:$I$15</c15:sqref>
                        </c15:formulaRef>
                      </c:ext>
                    </c:extLst>
                    <c:numCache>
                      <c:formatCode>#,##0.00</c:formatCode>
                      <c:ptCount val="11"/>
                      <c:pt idx="0">
                        <c:v>68360.849999999627</c:v>
                      </c:pt>
                      <c:pt idx="1">
                        <c:v>10849.60000000149</c:v>
                      </c:pt>
                      <c:pt idx="2">
                        <c:v>420891.46999999881</c:v>
                      </c:pt>
                      <c:pt idx="3">
                        <c:v>510062.70000000298</c:v>
                      </c:pt>
                      <c:pt idx="4">
                        <c:v>9180631.099999994</c:v>
                      </c:pt>
                      <c:pt idx="5">
                        <c:v>44534924.710000038</c:v>
                      </c:pt>
                      <c:pt idx="6">
                        <c:v>7894274.9500000477</c:v>
                      </c:pt>
                      <c:pt idx="7">
                        <c:v>55740258.190000057</c:v>
                      </c:pt>
                      <c:pt idx="8">
                        <c:v>30947828.330000162</c:v>
                      </c:pt>
                      <c:pt idx="9">
                        <c:v>104334503.38000023</c:v>
                      </c:pt>
                      <c:pt idx="10">
                        <c:v>101771268.15999985</c:v>
                      </c:pt>
                    </c:numCache>
                  </c:numRef>
                </c:val>
                <c:extLst xmlns:c15="http://schemas.microsoft.com/office/drawing/2012/chart">
                  <c:ext xmlns:c16="http://schemas.microsoft.com/office/drawing/2014/chart" uri="{C3380CC4-5D6E-409C-BE32-E72D297353CC}">
                    <c16:uniqueId val="{00000027-30BF-4463-803D-BED34E5E6876}"/>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Grafiks_brīvais_fin_pa_AI!$M$3</c15:sqref>
                        </c15:formulaRef>
                      </c:ext>
                    </c:extLst>
                    <c:strCache>
                      <c:ptCount val="1"/>
                      <c:pt idx="0">
                        <c:v>Līgumi uz valsts budžeta virssaistību rēķina (0 milj. €)</c:v>
                      </c:pt>
                    </c:strCache>
                  </c:strRef>
                </c:tx>
                <c:spPr>
                  <a:solidFill>
                    <a:srgbClr val="92D050">
                      <a:alpha val="62000"/>
                    </a:srgbClr>
                  </a:solidFill>
                  <a:ln>
                    <a:noFill/>
                  </a:ln>
                  <a:effectLst/>
                </c:spPr>
                <c:invertIfNegative val="0"/>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30BF-4463-803D-BED34E5E6876}"/>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30BF-4463-803D-BED34E5E6876}"/>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30BF-4463-803D-BED34E5E6876}"/>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30BF-4463-803D-BED34E5E6876}"/>
                      </c:ext>
                    </c:extLst>
                  </c:dLbl>
                  <c:dLbl>
                    <c:idx val="4"/>
                    <c:layout>
                      <c:manualLayout>
                        <c:x val="2.6101770386015955E-2"/>
                        <c:y val="2.2519809504409963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rgbClr val="92D050"/>
                            </a:solidFill>
                            <a:latin typeface="+mn-lt"/>
                            <a:ea typeface="+mn-ea"/>
                            <a:cs typeface="+mn-cs"/>
                          </a:defRPr>
                        </a:pPr>
                        <a:endParaRPr lang="lv-LV"/>
                      </a:p>
                    </c:txPr>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2C-30BF-4463-803D-BED34E5E687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30BF-4463-803D-BED34E5E6876}"/>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E-30BF-4463-803D-BED34E5E6876}"/>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F-30BF-4463-803D-BED34E5E6876}"/>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0-30BF-4463-803D-BED34E5E6876}"/>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1-30BF-4463-803D-BED34E5E6876}"/>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2-30BF-4463-803D-BED34E5E687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rgbClr val="92D050"/>
                          </a:solidFill>
                          <a:latin typeface="+mn-lt"/>
                          <a:ea typeface="+mn-ea"/>
                          <a:cs typeface="+mn-cs"/>
                        </a:defRPr>
                      </a:pPr>
                      <a:endParaRPr lang="lv-LV"/>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strRef>
                    <c:extLst xmlns:c15="http://schemas.microsoft.com/office/drawing/2012/chart">
                      <c:ext xmlns:c15="http://schemas.microsoft.com/office/drawing/2012/char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xmlns:c15="http://schemas.microsoft.com/office/drawing/2012/chart">
                      <c:ext xmlns:c15="http://schemas.microsoft.com/office/drawing/2012/chart" uri="{02D57815-91ED-43cb-92C2-25804820EDAC}">
                        <c15:formulaRef>
                          <c15:sqref>Grafiks_brīvais_fin_pa_AI!$M$5:$M$15</c15:sqref>
                        </c15:formulaRef>
                      </c:ext>
                    </c:extLst>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xmlns:c15="http://schemas.microsoft.com/office/drawing/2012/chart">
                  <c:ext xmlns:c16="http://schemas.microsoft.com/office/drawing/2014/chart" uri="{C3380CC4-5D6E-409C-BE32-E72D297353CC}">
                    <c16:uniqueId val="{00000033-30BF-4463-803D-BED34E5E6876}"/>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Grafiks_brīvais_fin_pa_AI!$F$3</c15:sqref>
                        </c15:formulaRef>
                      </c:ext>
                    </c:extLst>
                    <c:strCache>
                      <c:ptCount val="1"/>
                      <c:pt idx="0">
                        <c:v>Virssaistības  atbilstoši apst. MK </c:v>
                      </c:pt>
                    </c:strCache>
                  </c:strRef>
                </c:tx>
                <c:spPr>
                  <a:solidFill>
                    <a:srgbClr val="C00000">
                      <a:alpha val="56000"/>
                    </a:srgbClr>
                  </a:solidFill>
                  <a:ln>
                    <a:noFill/>
                  </a:ln>
                  <a:effectLst/>
                </c:spPr>
                <c:invertIfNegative val="0"/>
                <c:dLbls>
                  <c:dLbl>
                    <c:idx val="4"/>
                    <c:layout>
                      <c:manualLayout>
                        <c:x val="4.0881263321093535E-2"/>
                        <c:y val="1.3099877084490806E-2"/>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4-30BF-4463-803D-BED34E5E6876}"/>
                      </c:ext>
                    </c:extLst>
                  </c:dLbl>
                  <c:dLbl>
                    <c:idx val="7"/>
                    <c:layout>
                      <c:manualLayout>
                        <c:x val="4.1674485532298813E-2"/>
                        <c:y val="-3.8109151597643504E-17"/>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5-30BF-4463-803D-BED34E5E6876}"/>
                      </c:ext>
                    </c:extLst>
                  </c:dLbl>
                  <c:dLbl>
                    <c:idx val="8"/>
                    <c:layout>
                      <c:manualLayout>
                        <c:x val="3.8480154558146004E-2"/>
                        <c:y val="2.0787050093353113E-3"/>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6-30BF-4463-803D-BED34E5E6876}"/>
                      </c:ext>
                    </c:extLst>
                  </c:dLbl>
                  <c:dLbl>
                    <c:idx val="9"/>
                    <c:layout>
                      <c:manualLayout>
                        <c:x val="2.5371775110577196E-2"/>
                        <c:y val="0"/>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7-30BF-4463-803D-BED34E5E687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v-LV"/>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xmlns:c15="http://schemas.microsoft.com/office/drawing/2012/chart">
                      <c:ext xmlns:c15="http://schemas.microsoft.com/office/drawing/2012/chart" uri="{02D57815-91ED-43cb-92C2-25804820EDAC}">
                        <c15:formulaRef>
                          <c15:sqref>Grafiks_brīvais_fin_pa_AI!$F$5:$F$15</c15:sqref>
                        </c15:formulaRef>
                      </c:ext>
                    </c:extLst>
                    <c:numCache>
                      <c:formatCode>#,##0.00</c:formatCode>
                      <c:ptCount val="11"/>
                      <c:pt idx="0">
                        <c:v>0</c:v>
                      </c:pt>
                      <c:pt idx="1">
                        <c:v>0</c:v>
                      </c:pt>
                      <c:pt idx="2">
                        <c:v>36881516</c:v>
                      </c:pt>
                      <c:pt idx="3">
                        <c:v>0</c:v>
                      </c:pt>
                      <c:pt idx="4">
                        <c:v>0</c:v>
                      </c:pt>
                      <c:pt idx="5">
                        <c:v>14530393</c:v>
                      </c:pt>
                      <c:pt idx="6">
                        <c:v>782851</c:v>
                      </c:pt>
                      <c:pt idx="7">
                        <c:v>46914125</c:v>
                      </c:pt>
                      <c:pt idx="8">
                        <c:v>8534803</c:v>
                      </c:pt>
                      <c:pt idx="9">
                        <c:v>116550001</c:v>
                      </c:pt>
                      <c:pt idx="10">
                        <c:v>0</c:v>
                      </c:pt>
                    </c:numCache>
                  </c:numRef>
                </c:val>
                <c:extLst xmlns:c15="http://schemas.microsoft.com/office/drawing/2012/chart">
                  <c:ext xmlns:c16="http://schemas.microsoft.com/office/drawing/2014/chart" uri="{C3380CC4-5D6E-409C-BE32-E72D297353CC}">
                    <c16:uniqueId val="{00000038-30BF-4463-803D-BED34E5E6876}"/>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Grafiks_brīvais_fin_pa_AI!$O$3</c15:sqref>
                        </c15:formulaRef>
                      </c:ext>
                    </c:extLst>
                    <c:strCache>
                      <c:ptCount val="1"/>
                      <c:pt idx="0">
                        <c:v>React EU (264 milj. €)</c:v>
                      </c:pt>
                    </c:strCache>
                  </c:strRef>
                </c:tx>
                <c:spPr>
                  <a:solidFill>
                    <a:schemeClr val="accent3">
                      <a:lumMod val="60000"/>
                    </a:schemeClr>
                  </a:solidFill>
                  <a:ln>
                    <a:noFill/>
                  </a:ln>
                  <a:effectLst/>
                </c:spPr>
                <c:invertIfNegative val="0"/>
                <c:dLbls>
                  <c:dLbl>
                    <c:idx val="4"/>
                    <c:layout>
                      <c:manualLayout>
                        <c:x val="1.1069682284429096E-2"/>
                        <c:y val="3.568805158412798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9-30BF-4463-803D-BED34E5E6876}"/>
                      </c:ext>
                    </c:extLst>
                  </c:dLbl>
                  <c:dLbl>
                    <c:idx val="5"/>
                    <c:layout>
                      <c:manualLayout>
                        <c:x val="1.106968228442907E-2"/>
                        <c:y val="2.260243266994772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A-30BF-4463-803D-BED34E5E6876}"/>
                      </c:ext>
                    </c:extLst>
                  </c:dLbl>
                  <c:dLbl>
                    <c:idx val="6"/>
                    <c:layout>
                      <c:manualLayout>
                        <c:x val="3.247106803432543E-2"/>
                        <c:y val="1.1896017194709327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B-30BF-4463-803D-BED34E5E6876}"/>
                      </c:ext>
                    </c:extLst>
                  </c:dLbl>
                  <c:dLbl>
                    <c:idx val="7"/>
                    <c:layout>
                      <c:manualLayout>
                        <c:x val="1.2545639922353007E-2"/>
                        <c:y val="1.1896017194709327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C-30BF-4463-803D-BED34E5E6876}"/>
                      </c:ext>
                    </c:extLst>
                  </c:dLbl>
                  <c:dLbl>
                    <c:idx val="8"/>
                    <c:layout>
                      <c:manualLayout>
                        <c:x val="2.5091279844706015E-2"/>
                        <c:y val="0"/>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D-30BF-4463-803D-BED34E5E6876}"/>
                      </c:ext>
                    </c:extLst>
                  </c:dLbl>
                  <c:dLbl>
                    <c:idx val="9"/>
                    <c:layout>
                      <c:manualLayout>
                        <c:x val="5.9038305516955327E-3"/>
                        <c:y val="3.33088481451861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E-30BF-4463-803D-BED34E5E687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chemeClr val="tx1">
                              <a:lumMod val="75000"/>
                              <a:lumOff val="25000"/>
                            </a:schemeClr>
                          </a:solidFill>
                          <a:latin typeface="+mn-lt"/>
                          <a:ea typeface="+mn-ea"/>
                          <a:cs typeface="+mn-cs"/>
                        </a:defRPr>
                      </a:pPr>
                      <a:endParaRPr lang="lv-LV"/>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xmlns:c15="http://schemas.microsoft.com/office/drawing/2012/chart">
                      <c:ext xmlns:c15="http://schemas.microsoft.com/office/drawing/2012/chart" uri="{02D57815-91ED-43cb-92C2-25804820EDAC}">
                        <c15:formulaRef>
                          <c15:sqref>Grafiks_brīvais_fin_pa_AI!$O$5:$O$15</c15:sqref>
                        </c15:formulaRef>
                      </c:ext>
                    </c:extLst>
                    <c:numCache>
                      <c:formatCode>#,##0.00</c:formatCode>
                      <c:ptCount val="11"/>
                      <c:pt idx="4">
                        <c:v>0</c:v>
                      </c:pt>
                      <c:pt idx="5">
                        <c:v>0</c:v>
                      </c:pt>
                      <c:pt idx="6">
                        <c:v>0</c:v>
                      </c:pt>
                      <c:pt idx="7">
                        <c:v>0</c:v>
                      </c:pt>
                      <c:pt idx="8">
                        <c:v>2524642</c:v>
                      </c:pt>
                      <c:pt idx="9">
                        <c:v>0</c:v>
                      </c:pt>
                    </c:numCache>
                  </c:numRef>
                </c:val>
                <c:extLst xmlns:c15="http://schemas.microsoft.com/office/drawing/2012/chart">
                  <c:ext xmlns:c16="http://schemas.microsoft.com/office/drawing/2014/chart" uri="{C3380CC4-5D6E-409C-BE32-E72D297353CC}">
                    <c16:uniqueId val="{0000003F-30BF-4463-803D-BED34E5E6876}"/>
                  </c:ext>
                </c:extLst>
              </c15:ser>
            </c15:filteredBarSeries>
          </c:ext>
        </c:extLst>
      </c:barChart>
      <c:catAx>
        <c:axId val="6768621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1" i="0" u="none" strike="noStrike" kern="1200" baseline="0">
                <a:solidFill>
                  <a:schemeClr val="accent5">
                    <a:lumMod val="50000"/>
                  </a:schemeClr>
                </a:solidFill>
                <a:latin typeface="+mn-lt"/>
                <a:ea typeface="+mn-ea"/>
                <a:cs typeface="+mn-cs"/>
              </a:defRPr>
            </a:pPr>
            <a:endParaRPr lang="lv-LV"/>
          </a:p>
        </c:txPr>
        <c:crossAx val="676860840"/>
        <c:crosses val="autoZero"/>
        <c:auto val="1"/>
        <c:lblAlgn val="ctr"/>
        <c:lblOffset val="100"/>
        <c:noMultiLvlLbl val="0"/>
      </c:catAx>
      <c:valAx>
        <c:axId val="676860840"/>
        <c:scaling>
          <c:orientation val="minMax"/>
          <c:max val="1400000000"/>
        </c:scaling>
        <c:delete val="0"/>
        <c:axPos val="b"/>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lv-LV"/>
          </a:p>
        </c:txPr>
        <c:crossAx val="676862152"/>
        <c:crosses val="autoZero"/>
        <c:crossBetween val="between"/>
        <c:dispUnits>
          <c:builtInUnit val="millions"/>
        </c:dispUnits>
      </c:valAx>
      <c:valAx>
        <c:axId val="337720712"/>
        <c:scaling>
          <c:orientation val="minMax"/>
          <c:min val="0"/>
        </c:scaling>
        <c:delete val="0"/>
        <c:axPos val="t"/>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lv-LV"/>
          </a:p>
        </c:txPr>
        <c:crossAx val="337727928"/>
        <c:crosses val="max"/>
        <c:crossBetween val="between"/>
        <c:dispUnits>
          <c:builtInUnit val="millions"/>
        </c:dispUnits>
      </c:valAx>
      <c:catAx>
        <c:axId val="337727928"/>
        <c:scaling>
          <c:orientation val="minMax"/>
        </c:scaling>
        <c:delete val="1"/>
        <c:axPos val="l"/>
        <c:numFmt formatCode="General" sourceLinked="1"/>
        <c:majorTickMark val="out"/>
        <c:minorTickMark val="none"/>
        <c:tickLblPos val="nextTo"/>
        <c:crossAx val="337720712"/>
        <c:crosses val="autoZero"/>
        <c:auto val="1"/>
        <c:lblAlgn val="ctr"/>
        <c:lblOffset val="100"/>
        <c:noMultiLvlLbl val="0"/>
      </c:catAx>
      <c:spPr>
        <a:noFill/>
        <a:ln>
          <a:noFill/>
        </a:ln>
        <a:effectLst/>
      </c:spPr>
    </c:plotArea>
    <c:legend>
      <c:legendPos val="b"/>
      <c:legendEntry>
        <c:idx val="2"/>
        <c:txPr>
          <a:bodyPr rot="0" spcFirstLastPara="1" vertOverflow="ellipsis" vert="horz" wrap="square" anchor="ctr" anchorCtr="1"/>
          <a:lstStyle/>
          <a:p>
            <a:pPr>
              <a:defRPr sz="2400" b="1" i="0" u="none" strike="noStrike" kern="1200" baseline="0">
                <a:solidFill>
                  <a:schemeClr val="accent5">
                    <a:lumMod val="50000"/>
                  </a:schemeClr>
                </a:solidFill>
                <a:latin typeface="+mn-lt"/>
                <a:ea typeface="+mn-ea"/>
                <a:cs typeface="+mn-cs"/>
              </a:defRPr>
            </a:pPr>
            <a:endParaRPr lang="lv-LV"/>
          </a:p>
        </c:txPr>
      </c:legendEntry>
      <c:layout>
        <c:manualLayout>
          <c:xMode val="edge"/>
          <c:yMode val="edge"/>
          <c:x val="0.21287380392316108"/>
          <c:y val="0.70750916949260267"/>
          <c:w val="0.59443032073856039"/>
          <c:h val="0.20640320454349179"/>
        </c:manualLayout>
      </c:layout>
      <c:overlay val="0"/>
      <c:spPr>
        <a:noFill/>
        <a:ln>
          <a:noFill/>
        </a:ln>
        <a:effectLst/>
      </c:spPr>
      <c:txPr>
        <a:bodyPr rot="0" spcFirstLastPara="1" vertOverflow="ellipsis" vert="horz" wrap="square" anchor="ctr" anchorCtr="1"/>
        <a:lstStyle/>
        <a:p>
          <a:pPr>
            <a:defRPr sz="2400" b="1" i="0" u="none" strike="noStrike" kern="1200" baseline="0">
              <a:solidFill>
                <a:schemeClr val="accent5">
                  <a:lumMod val="50000"/>
                </a:schemeClr>
              </a:solidFill>
              <a:latin typeface="+mn-lt"/>
              <a:ea typeface="+mn-ea"/>
              <a:cs typeface="+mn-cs"/>
            </a:defRPr>
          </a:pPr>
          <a:endParaRPr lang="lv-LV"/>
        </a:p>
      </c:txPr>
    </c:legend>
    <c:plotVisOnly val="1"/>
    <c:dispBlanksAs val="gap"/>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512033795404011"/>
          <c:y val="6.5443592887223484E-2"/>
          <c:w val="0.55638118117900848"/>
          <c:h val="0.90592904400680652"/>
        </c:manualLayout>
      </c:layout>
      <c:barChart>
        <c:barDir val="bar"/>
        <c:grouping val="stacked"/>
        <c:varyColors val="0"/>
        <c:ser>
          <c:idx val="2"/>
          <c:order val="1"/>
          <c:tx>
            <c:strRef>
              <c:f>Grafiks_brīvais_fin_pa_AI!$H$3</c:f>
              <c:strCache>
                <c:ptCount val="1"/>
                <c:pt idx="0">
                  <c:v>Maksājumu apjoms (4498 milj. €)</c:v>
                </c:pt>
              </c:strCache>
            </c:strRef>
          </c:tx>
          <c:spPr>
            <a:solidFill>
              <a:schemeClr val="accent5">
                <a:lumMod val="50000"/>
              </a:schemeClr>
            </a:solidFill>
            <a:ln>
              <a:noFill/>
            </a:ln>
            <a:effectLst/>
          </c:spPr>
          <c:invertIfNegative val="0"/>
          <c:dLbls>
            <c:dLbl>
              <c:idx val="0"/>
              <c:layout>
                <c:manualLayout>
                  <c:x val="1.9580819063803639E-2"/>
                  <c:y val="-1.225664448762155E-3"/>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F8A-4762-AA58-01B64C2102BA}"/>
                </c:ext>
              </c:extLst>
            </c:dLbl>
            <c:dLbl>
              <c:idx val="1"/>
              <c:layout>
                <c:manualLayout>
                  <c:x val="2.8056667674774736E-2"/>
                  <c:y val="1.8155008288805827E-3"/>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F8A-4762-AA58-01B64C2102BA}"/>
                </c:ext>
              </c:extLst>
            </c:dLbl>
            <c:dLbl>
              <c:idx val="2"/>
              <c:layout>
                <c:manualLayout>
                  <c:x val="1.740449513157933E-2"/>
                  <c:y val="1.8153912877669931E-3"/>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extLst>
                <c:ext xmlns:c15="http://schemas.microsoft.com/office/drawing/2012/chart" uri="{CE6537A1-D6FC-4f65-9D91-7224C49458BB}">
                  <c15:layout>
                    <c:manualLayout>
                      <c:w val="3.219120986852219E-2"/>
                      <c:h val="3.8336797987011291E-2"/>
                    </c:manualLayout>
                  </c15:layout>
                </c:ext>
                <c:ext xmlns:c16="http://schemas.microsoft.com/office/drawing/2014/chart" uri="{C3380CC4-5D6E-409C-BE32-E72D297353CC}">
                  <c16:uniqueId val="{00000002-6F8A-4762-AA58-01B64C2102BA}"/>
                </c:ext>
              </c:extLst>
            </c:dLbl>
            <c:dLbl>
              <c:idx val="3"/>
              <c:layout>
                <c:manualLayout>
                  <c:x val="3.5723733800801437E-4"/>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F8A-4762-AA58-01B64C2102BA}"/>
                </c:ext>
              </c:extLst>
            </c:dLbl>
            <c:dLbl>
              <c:idx val="4"/>
              <c:layout>
                <c:manualLayout>
                  <c:x val="2.27099862145400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F8A-4762-AA58-01B64C2102BA}"/>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solidFill>
                    <a:latin typeface="+mn-lt"/>
                    <a:ea typeface="+mn-ea"/>
                    <a:cs typeface="+mn-cs"/>
                  </a:defRPr>
                </a:pPr>
                <a:endParaRPr lang="lv-LV"/>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Grafiks_brīvais_fin_pa_AI!$H$5:$H$15</c:f>
              <c:numCache>
                <c:formatCode>#,##0.00</c:formatCode>
                <c:ptCount val="11"/>
                <c:pt idx="0">
                  <c:v>8501012.1500000004</c:v>
                </c:pt>
                <c:pt idx="1">
                  <c:v>17479673.399999999</c:v>
                </c:pt>
                <c:pt idx="2">
                  <c:v>36460624.530000001</c:v>
                </c:pt>
                <c:pt idx="3">
                  <c:v>100806240.3</c:v>
                </c:pt>
                <c:pt idx="4">
                  <c:v>126988112.90000001</c:v>
                </c:pt>
                <c:pt idx="5">
                  <c:v>316146400.28999996</c:v>
                </c:pt>
                <c:pt idx="6">
                  <c:v>385415128.04999995</c:v>
                </c:pt>
                <c:pt idx="7">
                  <c:v>736415509.80999994</c:v>
                </c:pt>
                <c:pt idx="8">
                  <c:v>809325170.66999984</c:v>
                </c:pt>
                <c:pt idx="9">
                  <c:v>846279846.61999977</c:v>
                </c:pt>
                <c:pt idx="10">
                  <c:v>1113875342.8400002</c:v>
                </c:pt>
              </c:numCache>
            </c:numRef>
          </c:val>
          <c:extLst xmlns:c15="http://schemas.microsoft.com/office/drawing/2012/chart">
            <c:ext xmlns:c16="http://schemas.microsoft.com/office/drawing/2014/chart" uri="{C3380CC4-5D6E-409C-BE32-E72D297353CC}">
              <c16:uniqueId val="{00000005-6F8A-4762-AA58-01B64C2102BA}"/>
            </c:ext>
          </c:extLst>
        </c:ser>
        <c:dLbls>
          <c:showLegendKey val="0"/>
          <c:showVal val="0"/>
          <c:showCatName val="0"/>
          <c:showSerName val="0"/>
          <c:showPercent val="0"/>
          <c:showBubbleSize val="0"/>
        </c:dLbls>
        <c:gapWidth val="123"/>
        <c:overlap val="100"/>
        <c:axId val="676862152"/>
        <c:axId val="676860840"/>
      </c:barChart>
      <c:barChart>
        <c:barDir val="bar"/>
        <c:grouping val="stacked"/>
        <c:varyColors val="0"/>
        <c:ser>
          <c:idx val="4"/>
          <c:order val="3"/>
          <c:tx>
            <c:strRef>
              <c:f>Grafiks_brīvais_fin_pa_AI!$J$3</c:f>
              <c:strCache>
                <c:ptCount val="1"/>
                <c:pt idx="0">
                  <c:v>Projektu līgumi, tai skaitā no virssaistībām (4529 milj. €)</c:v>
                </c:pt>
              </c:strCache>
            </c:strRef>
          </c:tx>
          <c:spPr>
            <a:solidFill>
              <a:srgbClr val="0070C0">
                <a:alpha val="61000"/>
              </a:srgbClr>
            </a:solidFill>
            <a:ln>
              <a:noFill/>
            </a:ln>
            <a:effectLst/>
          </c:spPr>
          <c:invertIfNegative val="0"/>
          <c:dLbls>
            <c:dLbl>
              <c:idx val="0"/>
              <c:layout>
                <c:manualLayout>
                  <c:x val="1.3913931573464676E-2"/>
                  <c:y val="-2.2602432669947721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F8A-4762-AA58-01B64C2102BA}"/>
                </c:ext>
              </c:extLst>
            </c:dLbl>
            <c:dLbl>
              <c:idx val="1"/>
              <c:layout>
                <c:manualLayout>
                  <c:x val="2.1042815789852672E-2"/>
                  <c:y val="-1.9033627511534923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F8A-4762-AA58-01B64C2102BA}"/>
                </c:ext>
              </c:extLst>
            </c:dLbl>
            <c:dLbl>
              <c:idx val="2"/>
              <c:layout>
                <c:manualLayout>
                  <c:x val="2.4311726217050439E-2"/>
                  <c:y val="-2.2602432669947721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F8A-4762-AA58-01B64C2102BA}"/>
                </c:ext>
              </c:extLst>
            </c:dLbl>
            <c:dLbl>
              <c:idx val="3"/>
              <c:layout>
                <c:manualLayout>
                  <c:x val="3.2837432165511798E-2"/>
                  <c:y val="-1.8988233886556273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F8A-4762-AA58-01B64C2102BA}"/>
                </c:ext>
              </c:extLst>
            </c:dLbl>
            <c:dLbl>
              <c:idx val="4"/>
              <c:layout>
                <c:manualLayout>
                  <c:x val="2.0496877265242835E-2"/>
                  <c:y val="0"/>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F8A-4762-AA58-01B64C2102BA}"/>
                </c:ext>
              </c:extLst>
            </c:dLbl>
            <c:dLbl>
              <c:idx val="6"/>
              <c:layout>
                <c:manualLayout>
                  <c:x val="6.786395686437163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E6-4A2C-84EE-012EE0AD00EA}"/>
                </c:ext>
              </c:extLst>
            </c:dLbl>
            <c:dLbl>
              <c:idx val="8"/>
              <c:layout>
                <c:manualLayout>
                  <c:x val="0.15010461956127655"/>
                  <c:y val="-2.5237135603803141E-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F8A-4762-AA58-01B64C2102BA}"/>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solidFill>
                    <a:latin typeface="+mn-lt"/>
                    <a:ea typeface="+mn-ea"/>
                    <a:cs typeface="+mn-cs"/>
                  </a:defRPr>
                </a:pPr>
                <a:endParaRPr lang="lv-LV"/>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Grafiks_brīvais_fin_pa_AI!$J$5:$J$15</c:f>
              <c:numCache>
                <c:formatCode>#,##0.00</c:formatCode>
                <c:ptCount val="11"/>
                <c:pt idx="0">
                  <c:v>8501012.1500000004</c:v>
                </c:pt>
                <c:pt idx="1">
                  <c:v>17479673.399999999</c:v>
                </c:pt>
                <c:pt idx="2">
                  <c:v>36460624.560000002</c:v>
                </c:pt>
                <c:pt idx="3">
                  <c:v>100806405.58</c:v>
                </c:pt>
                <c:pt idx="4">
                  <c:v>130290148.34</c:v>
                </c:pt>
                <c:pt idx="5">
                  <c:v>322214366.90999997</c:v>
                </c:pt>
                <c:pt idx="6">
                  <c:v>386011400.57999998</c:v>
                </c:pt>
                <c:pt idx="7">
                  <c:v>737125344.76999998</c:v>
                </c:pt>
                <c:pt idx="8">
                  <c:v>816446257.27999961</c:v>
                </c:pt>
                <c:pt idx="9">
                  <c:v>860769575.8599999</c:v>
                </c:pt>
                <c:pt idx="10">
                  <c:v>1113173329.1500001</c:v>
                </c:pt>
              </c:numCache>
            </c:numRef>
          </c:val>
          <c:extLst>
            <c:ext xmlns:c16="http://schemas.microsoft.com/office/drawing/2014/chart" uri="{C3380CC4-5D6E-409C-BE32-E72D297353CC}">
              <c16:uniqueId val="{0000000C-6F8A-4762-AA58-01B64C2102BA}"/>
            </c:ext>
          </c:extLst>
        </c:ser>
        <c:ser>
          <c:idx val="5"/>
          <c:order val="4"/>
          <c:tx>
            <c:strRef>
              <c:f>Grafiks_brīvais_fin_pa_AI!$L$3</c:f>
              <c:strCache>
                <c:ptCount val="1"/>
                <c:pt idx="0">
                  <c:v>Nav noslēgti līgumi par fondu finansējumu un virss. (324 milj. €)</c:v>
                </c:pt>
              </c:strCache>
            </c:strRef>
          </c:tx>
          <c:spPr>
            <a:solidFill>
              <a:schemeClr val="bg1">
                <a:lumMod val="75000"/>
                <a:alpha val="79000"/>
              </a:schemeClr>
            </a:solidFill>
            <a:ln>
              <a:noFill/>
            </a:ln>
            <a:effectLst/>
          </c:spPr>
          <c:invertIfNegative val="0"/>
          <c:dLbls>
            <c:dLbl>
              <c:idx val="0"/>
              <c:layout>
                <c:manualLayout>
                  <c:x val="1.6811641282815069E-2"/>
                  <c:y val="2.4976819223593544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F8A-4762-AA58-01B64C2102BA}"/>
                </c:ext>
              </c:extLst>
            </c:dLbl>
            <c:dLbl>
              <c:idx val="1"/>
              <c:layout>
                <c:manualLayout>
                  <c:x val="1.7548357905056371E-2"/>
                  <c:y val="2.616389930569836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F8A-4762-AA58-01B64C2102BA}"/>
                </c:ext>
              </c:extLst>
            </c:dLbl>
            <c:dLbl>
              <c:idx val="2"/>
              <c:layout>
                <c:manualLayout>
                  <c:x val="1.1654624927125963E-2"/>
                  <c:y val="2.616389930569827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F8A-4762-AA58-01B64C2102BA}"/>
                </c:ext>
              </c:extLst>
            </c:dLbl>
            <c:dLbl>
              <c:idx val="3"/>
              <c:layout>
                <c:manualLayout>
                  <c:x val="2.4915524127469377E-2"/>
                  <c:y val="4.8137499392352277E-5"/>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F8A-4762-AA58-01B64C2102BA}"/>
                </c:ext>
              </c:extLst>
            </c:dLbl>
            <c:dLbl>
              <c:idx val="4"/>
              <c:layout>
                <c:manualLayout>
                  <c:x val="2.4915524127469377E-2"/>
                  <c:y val="4.8137499392352277E-5"/>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F8A-4762-AA58-01B64C2102BA}"/>
                </c:ext>
              </c:extLst>
            </c:dLbl>
            <c:dLbl>
              <c:idx val="5"/>
              <c:layout>
                <c:manualLayout>
                  <c:x val="4.2596723061260597E-2"/>
                  <c:y val="1.3106018402545399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6F8A-4762-AA58-01B64C2102BA}"/>
                </c:ext>
              </c:extLst>
            </c:dLbl>
            <c:dLbl>
              <c:idx val="6"/>
              <c:layout>
                <c:manualLayout>
                  <c:x val="2.1231941016262874E-2"/>
                  <c:y val="1.7854338730964658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6F8A-4762-AA58-01B64C2102BA}"/>
                </c:ext>
              </c:extLst>
            </c:dLbl>
            <c:dLbl>
              <c:idx val="7"/>
              <c:layout>
                <c:manualLayout>
                  <c:x val="2.0773088379891077E-3"/>
                  <c:y val="2.422297663602068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6F8A-4762-AA58-01B64C2102BA}"/>
                </c:ext>
              </c:extLst>
            </c:dLbl>
            <c:dLbl>
              <c:idx val="8"/>
              <c:layout>
                <c:manualLayout>
                  <c:x val="4.7017022794708402E-2"/>
                  <c:y val="1.7854338730964613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6F8A-4762-AA58-01B64C2102BA}"/>
                </c:ext>
              </c:extLst>
            </c:dLbl>
            <c:dLbl>
              <c:idx val="9"/>
              <c:layout>
                <c:manualLayout>
                  <c:x val="6.0410763023786555E-2"/>
                  <c:y val="1.5432041067362588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6F8A-4762-AA58-01B64C2102BA}"/>
                </c:ext>
              </c:extLst>
            </c:dLbl>
            <c:dLbl>
              <c:idx val="10"/>
              <c:layout>
                <c:manualLayout>
                  <c:x val="2.4915516070664171E-2"/>
                  <c:y val="4.8183057365791793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C51-4D21-BEF9-8E92D6B7EA0E}"/>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showLeaderLines val="0"/>
            <c:extLst>
              <c:ext xmlns:c15="http://schemas.microsoft.com/office/drawing/2012/chart" uri="{CE6537A1-D6FC-4f65-9D91-7224C49458BB}">
                <c15:showLeaderLines val="0"/>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Grafiks_brīvais_fin_pa_AI!$L$5:$L$15</c:f>
              <c:numCache>
                <c:formatCode>#,##0.00</c:formatCode>
                <c:ptCount val="11"/>
                <c:pt idx="0">
                  <c:v>68360.849999999627</c:v>
                </c:pt>
                <c:pt idx="1">
                  <c:v>10849.60000000149</c:v>
                </c:pt>
                <c:pt idx="2">
                  <c:v>420891.43999999762</c:v>
                </c:pt>
                <c:pt idx="3">
                  <c:v>509897.42000000179</c:v>
                </c:pt>
                <c:pt idx="4">
                  <c:v>5878595.6599999964</c:v>
                </c:pt>
                <c:pt idx="5">
                  <c:v>38466958.090000033</c:v>
                </c:pt>
                <c:pt idx="6">
                  <c:v>7298002.4200000167</c:v>
                </c:pt>
                <c:pt idx="7">
                  <c:v>55030423.230000019</c:v>
                </c:pt>
                <c:pt idx="8">
                  <c:v>23826741.720000386</c:v>
                </c:pt>
                <c:pt idx="9">
                  <c:v>89844774.140000105</c:v>
                </c:pt>
                <c:pt idx="10">
                  <c:v>102473281.8499999</c:v>
                </c:pt>
              </c:numCache>
            </c:numRef>
          </c:val>
          <c:extLst>
            <c:ext xmlns:c16="http://schemas.microsoft.com/office/drawing/2014/chart" uri="{C3380CC4-5D6E-409C-BE32-E72D297353CC}">
              <c16:uniqueId val="{00000017-6F8A-4762-AA58-01B64C2102BA}"/>
            </c:ext>
          </c:extLst>
        </c:ser>
        <c:ser>
          <c:idx val="1"/>
          <c:order val="5"/>
          <c:tx>
            <c:strRef>
              <c:f>Grafiks_brīvais_fin_pa_AI!$E$3</c:f>
              <c:strCache>
                <c:ptCount val="1"/>
                <c:pt idx="0">
                  <c:v>MK noteikumos nesadalītais finansējums (12 milj. €)</c:v>
                </c:pt>
              </c:strCache>
            </c:strRef>
          </c:tx>
          <c:spPr>
            <a:solidFill>
              <a:srgbClr val="C00000">
                <a:alpha val="41000"/>
              </a:srgb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18-6F8A-4762-AA58-01B64C2102BA}"/>
                </c:ext>
              </c:extLst>
            </c:dLbl>
            <c:dLbl>
              <c:idx val="1"/>
              <c:delete val="1"/>
              <c:extLst>
                <c:ext xmlns:c15="http://schemas.microsoft.com/office/drawing/2012/chart" uri="{CE6537A1-D6FC-4f65-9D91-7224C49458BB}"/>
                <c:ext xmlns:c16="http://schemas.microsoft.com/office/drawing/2014/chart" uri="{C3380CC4-5D6E-409C-BE32-E72D297353CC}">
                  <c16:uniqueId val="{00000019-6F8A-4762-AA58-01B64C2102BA}"/>
                </c:ext>
              </c:extLst>
            </c:dLbl>
            <c:dLbl>
              <c:idx val="2"/>
              <c:delete val="1"/>
              <c:extLst>
                <c:ext xmlns:c15="http://schemas.microsoft.com/office/drawing/2012/chart" uri="{CE6537A1-D6FC-4f65-9D91-7224C49458BB}"/>
                <c:ext xmlns:c16="http://schemas.microsoft.com/office/drawing/2014/chart" uri="{C3380CC4-5D6E-409C-BE32-E72D297353CC}">
                  <c16:uniqueId val="{0000001A-6F8A-4762-AA58-01B64C2102BA}"/>
                </c:ext>
              </c:extLst>
            </c:dLbl>
            <c:dLbl>
              <c:idx val="3"/>
              <c:delete val="1"/>
              <c:extLst>
                <c:ext xmlns:c15="http://schemas.microsoft.com/office/drawing/2012/chart" uri="{CE6537A1-D6FC-4f65-9D91-7224C49458BB}"/>
                <c:ext xmlns:c16="http://schemas.microsoft.com/office/drawing/2014/chart" uri="{C3380CC4-5D6E-409C-BE32-E72D297353CC}">
                  <c16:uniqueId val="{0000001B-6F8A-4762-AA58-01B64C2102BA}"/>
                </c:ext>
              </c:extLst>
            </c:dLbl>
            <c:dLbl>
              <c:idx val="4"/>
              <c:layout>
                <c:manualLayout>
                  <c:x val="2.7424102235383888E-2"/>
                  <c:y val="-2.3205452716824383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1C-6F8A-4762-AA58-01B64C2102BA}"/>
                </c:ext>
              </c:extLst>
            </c:dLbl>
            <c:dLbl>
              <c:idx val="5"/>
              <c:layout>
                <c:manualLayout>
                  <c:x val="3.3317835213314266E-2"/>
                  <c:y val="-1.8457132388405212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1D-6F8A-4762-AA58-01B64C2102BA}"/>
                </c:ext>
              </c:extLst>
            </c:dLbl>
            <c:dLbl>
              <c:idx val="6"/>
              <c:layout>
                <c:manualLayout>
                  <c:x val="2.2267085879694757E-2"/>
                  <c:y val="-1.2521731977881053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1E-6F8A-4762-AA58-01B64C2102BA}"/>
                </c:ext>
              </c:extLst>
            </c:dLbl>
            <c:dLbl>
              <c:idx val="7"/>
              <c:delete val="1"/>
              <c:extLst>
                <c:ext xmlns:c15="http://schemas.microsoft.com/office/drawing/2012/chart" uri="{CE6537A1-D6FC-4f65-9D91-7224C49458BB}"/>
                <c:ext xmlns:c16="http://schemas.microsoft.com/office/drawing/2014/chart" uri="{C3380CC4-5D6E-409C-BE32-E72D297353CC}">
                  <c16:uniqueId val="{0000001F-6F8A-4762-AA58-01B64C2102BA}"/>
                </c:ext>
              </c:extLst>
            </c:dLbl>
            <c:dLbl>
              <c:idx val="8"/>
              <c:layout>
                <c:manualLayout>
                  <c:x val="3.8474851569003377E-2"/>
                  <c:y val="-1.9644212470509983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90795392911E-2"/>
                      <c:h val="2.7257788927814313E-2"/>
                    </c:manualLayout>
                  </c15:layout>
                </c:ext>
                <c:ext xmlns:c16="http://schemas.microsoft.com/office/drawing/2014/chart" uri="{C3380CC4-5D6E-409C-BE32-E72D297353CC}">
                  <c16:uniqueId val="{00000020-6F8A-4762-AA58-01B64C2102BA}"/>
                </c:ext>
              </c:extLst>
            </c:dLbl>
            <c:dLbl>
              <c:idx val="9"/>
              <c:layout>
                <c:manualLayout>
                  <c:x val="4.363186792469248E-2"/>
                  <c:y val="-1.9644212470509962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21-6F8A-4762-AA58-01B64C2102BA}"/>
                </c:ext>
              </c:extLst>
            </c:dLbl>
            <c:dLbl>
              <c:idx val="10"/>
              <c:layout>
                <c:manualLayout>
                  <c:x val="3.2581118591072968E-2"/>
                  <c:y val="-1.9644212470509941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00-44F4-49C0-857C-6E468986E2D3}"/>
                </c:ext>
              </c:extLst>
            </c:dLbl>
            <c:numFmt formatCode="#,##0" sourceLinked="0"/>
            <c:spPr>
              <a:noFill/>
              <a:ln>
                <a:noFill/>
              </a:ln>
              <a:effectLst/>
            </c:spPr>
            <c:txPr>
              <a:bodyPr rot="0" spcFirstLastPara="1" vertOverflow="ellipsis" vert="horz" wrap="square" lIns="38100" tIns="19050" rIns="38100" bIns="19050" anchor="ctr" anchorCtr="1">
                <a:no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Grafiks_brīvais_fin_pa_AI!$E$5:$E$15</c:f>
              <c:numCache>
                <c:formatCode>#,##0.00</c:formatCode>
                <c:ptCount val="11"/>
                <c:pt idx="0">
                  <c:v>0</c:v>
                </c:pt>
                <c:pt idx="1">
                  <c:v>0</c:v>
                </c:pt>
                <c:pt idx="2">
                  <c:v>0</c:v>
                </c:pt>
                <c:pt idx="3">
                  <c:v>0</c:v>
                </c:pt>
                <c:pt idx="4">
                  <c:v>0</c:v>
                </c:pt>
                <c:pt idx="5">
                  <c:v>0</c:v>
                </c:pt>
                <c:pt idx="6">
                  <c:v>0</c:v>
                </c:pt>
                <c:pt idx="7">
                  <c:v>1059959</c:v>
                </c:pt>
                <c:pt idx="8">
                  <c:v>3303845</c:v>
                </c:pt>
                <c:pt idx="9">
                  <c:v>7399760</c:v>
                </c:pt>
                <c:pt idx="10">
                  <c:v>0</c:v>
                </c:pt>
              </c:numCache>
            </c:numRef>
          </c:val>
          <c:extLst>
            <c:ext xmlns:c16="http://schemas.microsoft.com/office/drawing/2014/chart" uri="{C3380CC4-5D6E-409C-BE32-E72D297353CC}">
              <c16:uniqueId val="{00000023-6F8A-4762-AA58-01B64C2102BA}"/>
            </c:ext>
          </c:extLst>
        </c:ser>
        <c:dLbls>
          <c:showLegendKey val="0"/>
          <c:showVal val="0"/>
          <c:showCatName val="0"/>
          <c:showSerName val="0"/>
          <c:showPercent val="0"/>
          <c:showBubbleSize val="0"/>
        </c:dLbls>
        <c:gapWidth val="16"/>
        <c:overlap val="100"/>
        <c:axId val="337727928"/>
        <c:axId val="337720712"/>
        <c:extLst>
          <c:ext xmlns:c15="http://schemas.microsoft.com/office/drawing/2012/chart" uri="{02D57815-91ED-43cb-92C2-25804820EDAC}">
            <c15:filteredBarSeries>
              <c15:ser>
                <c:idx val="0"/>
                <c:order val="0"/>
                <c:tx>
                  <c:strRef>
                    <c:extLst>
                      <c:ext uri="{02D57815-91ED-43cb-92C2-25804820EDAC}">
                        <c15:formulaRef>
                          <c15:sqref>Grafiks_brīvais_fin_pa_AI!$D$3</c15:sqref>
                        </c15:formulaRef>
                      </c:ext>
                    </c:extLst>
                    <c:strCache>
                      <c:ptCount val="1"/>
                      <c:pt idx="0">
                        <c:v>Piešķirtais ES fondu finansējums*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v-LV"/>
                    </a:p>
                  </c:txPr>
                  <c:dLblPos val="in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c:ext uri="{02D57815-91ED-43cb-92C2-25804820EDAC}">
                        <c15:formulaRef>
                          <c15:sqref>Grafiks_brīvais_fin_pa_AI!$D$5:$D$15</c15:sqref>
                        </c15:formulaRef>
                      </c:ext>
                    </c:extLst>
                    <c:numCache>
                      <c:formatCode>#,##0.00</c:formatCode>
                      <c:ptCount val="11"/>
                      <c:pt idx="0">
                        <c:v>8569373</c:v>
                      </c:pt>
                      <c:pt idx="1">
                        <c:v>17490523</c:v>
                      </c:pt>
                      <c:pt idx="2">
                        <c:v>36881516</c:v>
                      </c:pt>
                      <c:pt idx="3">
                        <c:v>101316303</c:v>
                      </c:pt>
                      <c:pt idx="4">
                        <c:v>136168744</c:v>
                      </c:pt>
                      <c:pt idx="5">
                        <c:v>360681325</c:v>
                      </c:pt>
                      <c:pt idx="6">
                        <c:v>393309403</c:v>
                      </c:pt>
                      <c:pt idx="7">
                        <c:v>792155768</c:v>
                      </c:pt>
                      <c:pt idx="8">
                        <c:v>840272999</c:v>
                      </c:pt>
                      <c:pt idx="9">
                        <c:v>950614350</c:v>
                      </c:pt>
                      <c:pt idx="10">
                        <c:v>1215646611</c:v>
                      </c:pt>
                    </c:numCache>
                  </c:numRef>
                </c:val>
                <c:extLst>
                  <c:ext xmlns:c16="http://schemas.microsoft.com/office/drawing/2014/chart" uri="{C3380CC4-5D6E-409C-BE32-E72D297353CC}">
                    <c16:uniqueId val="{00000024-6F8A-4762-AA58-01B64C2102BA}"/>
                  </c:ext>
                </c:extLst>
              </c15:ser>
            </c15:filteredBarSeries>
            <c15:filteredBarSeries>
              <c15:ser>
                <c:idx val="3"/>
                <c:order val="2"/>
                <c:tx>
                  <c:strRef>
                    <c:extLst xmlns:c15="http://schemas.microsoft.com/office/drawing/2012/chart">
                      <c:ext xmlns:c15="http://schemas.microsoft.com/office/drawing/2012/chart" uri="{02D57815-91ED-43cb-92C2-25804820EDAC}">
                        <c15:formulaRef>
                          <c15:sqref>Grafiks_brīvais_fin_pa_AI!$I$3</c15:sqref>
                        </c15:formulaRef>
                      </c:ext>
                    </c:extLst>
                    <c:strCache>
                      <c:ptCount val="1"/>
                      <c:pt idx="0">
                        <c:v>Līgumos plānotie, bet vēl neveiktie maksājumi (355 milj.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v-LV"/>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strRef>
                    <c:extLst xmlns:c15="http://schemas.microsoft.com/office/drawing/2012/chart">
                      <c:ext xmlns:c15="http://schemas.microsoft.com/office/drawing/2012/char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xmlns:c15="http://schemas.microsoft.com/office/drawing/2012/chart">
                      <c:ext xmlns:c15="http://schemas.microsoft.com/office/drawing/2012/chart" uri="{02D57815-91ED-43cb-92C2-25804820EDAC}">
                        <c15:formulaRef>
                          <c15:sqref>Grafiks_brīvais_fin_pa_AI!$I$5:$I$15</c15:sqref>
                        </c15:formulaRef>
                      </c:ext>
                    </c:extLst>
                    <c:numCache>
                      <c:formatCode>#,##0.00</c:formatCode>
                      <c:ptCount val="11"/>
                      <c:pt idx="0">
                        <c:v>68360.849999999627</c:v>
                      </c:pt>
                      <c:pt idx="1">
                        <c:v>10849.60000000149</c:v>
                      </c:pt>
                      <c:pt idx="2">
                        <c:v>420891.46999999881</c:v>
                      </c:pt>
                      <c:pt idx="3">
                        <c:v>510062.70000000298</c:v>
                      </c:pt>
                      <c:pt idx="4">
                        <c:v>9180631.099999994</c:v>
                      </c:pt>
                      <c:pt idx="5">
                        <c:v>44534924.710000038</c:v>
                      </c:pt>
                      <c:pt idx="6">
                        <c:v>7894274.9500000477</c:v>
                      </c:pt>
                      <c:pt idx="7">
                        <c:v>55740258.190000057</c:v>
                      </c:pt>
                      <c:pt idx="8">
                        <c:v>30947828.330000162</c:v>
                      </c:pt>
                      <c:pt idx="9">
                        <c:v>104334503.38000023</c:v>
                      </c:pt>
                      <c:pt idx="10">
                        <c:v>101771268.15999985</c:v>
                      </c:pt>
                    </c:numCache>
                  </c:numRef>
                </c:val>
                <c:extLst xmlns:c15="http://schemas.microsoft.com/office/drawing/2012/chart">
                  <c:ext xmlns:c16="http://schemas.microsoft.com/office/drawing/2014/chart" uri="{C3380CC4-5D6E-409C-BE32-E72D297353CC}">
                    <c16:uniqueId val="{00000025-6F8A-4762-AA58-01B64C2102BA}"/>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Grafiks_brīvais_fin_pa_AI!$M$3</c15:sqref>
                        </c15:formulaRef>
                      </c:ext>
                    </c:extLst>
                    <c:strCache>
                      <c:ptCount val="1"/>
                      <c:pt idx="0">
                        <c:v>Līgumi uz valsts budžeta virssaistību rēķina (0 milj. €)</c:v>
                      </c:pt>
                    </c:strCache>
                  </c:strRef>
                </c:tx>
                <c:spPr>
                  <a:solidFill>
                    <a:srgbClr val="92D050">
                      <a:alpha val="62000"/>
                    </a:srgbClr>
                  </a:solidFill>
                  <a:ln>
                    <a:noFill/>
                  </a:ln>
                  <a:effectLst/>
                </c:spPr>
                <c:invertIfNegative val="0"/>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6F8A-4762-AA58-01B64C2102BA}"/>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6F8A-4762-AA58-01B64C2102BA}"/>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6F8A-4762-AA58-01B64C2102BA}"/>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6F8A-4762-AA58-01B64C2102BA}"/>
                      </c:ext>
                    </c:extLst>
                  </c:dLbl>
                  <c:dLbl>
                    <c:idx val="4"/>
                    <c:layout>
                      <c:manualLayout>
                        <c:x val="2.6101770386015955E-2"/>
                        <c:y val="2.2519809504409963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rgbClr val="92D050"/>
                            </a:solidFill>
                            <a:latin typeface="+mn-lt"/>
                            <a:ea typeface="+mn-ea"/>
                            <a:cs typeface="+mn-cs"/>
                          </a:defRPr>
                        </a:pPr>
                        <a:endParaRPr lang="lv-LV"/>
                      </a:p>
                    </c:txPr>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2A-6F8A-4762-AA58-01B64C2102BA}"/>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6F8A-4762-AA58-01B64C2102B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6F8A-4762-AA58-01B64C2102BA}"/>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6F8A-4762-AA58-01B64C2102BA}"/>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E-6F8A-4762-AA58-01B64C2102BA}"/>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F-6F8A-4762-AA58-01B64C2102BA}"/>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0-6F8A-4762-AA58-01B64C2102BA}"/>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rgbClr val="92D050"/>
                          </a:solidFill>
                          <a:latin typeface="+mn-lt"/>
                          <a:ea typeface="+mn-ea"/>
                          <a:cs typeface="+mn-cs"/>
                        </a:defRPr>
                      </a:pPr>
                      <a:endParaRPr lang="lv-LV"/>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strRef>
                    <c:extLst xmlns:c15="http://schemas.microsoft.com/office/drawing/2012/chart">
                      <c:ext xmlns:c15="http://schemas.microsoft.com/office/drawing/2012/char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xmlns:c15="http://schemas.microsoft.com/office/drawing/2012/chart">
                      <c:ext xmlns:c15="http://schemas.microsoft.com/office/drawing/2012/chart" uri="{02D57815-91ED-43cb-92C2-25804820EDAC}">
                        <c15:formulaRef>
                          <c15:sqref>Grafiks_brīvais_fin_pa_AI!$M$5:$M$15</c15:sqref>
                        </c15:formulaRef>
                      </c:ext>
                    </c:extLst>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xmlns:c15="http://schemas.microsoft.com/office/drawing/2012/chart">
                  <c:ext xmlns:c16="http://schemas.microsoft.com/office/drawing/2014/chart" uri="{C3380CC4-5D6E-409C-BE32-E72D297353CC}">
                    <c16:uniqueId val="{00000031-6F8A-4762-AA58-01B64C2102BA}"/>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Grafiks_brīvais_fin_pa_AI!$F$3</c15:sqref>
                        </c15:formulaRef>
                      </c:ext>
                    </c:extLst>
                    <c:strCache>
                      <c:ptCount val="1"/>
                      <c:pt idx="0">
                        <c:v>Virssaistības  atbilstoši apst. MK </c:v>
                      </c:pt>
                    </c:strCache>
                  </c:strRef>
                </c:tx>
                <c:spPr>
                  <a:solidFill>
                    <a:srgbClr val="C00000">
                      <a:alpha val="56000"/>
                    </a:srgbClr>
                  </a:solidFill>
                  <a:ln>
                    <a:noFill/>
                  </a:ln>
                  <a:effectLst/>
                </c:spPr>
                <c:invertIfNegative val="0"/>
                <c:dLbls>
                  <c:dLbl>
                    <c:idx val="4"/>
                    <c:layout>
                      <c:manualLayout>
                        <c:x val="4.0881263321093535E-2"/>
                        <c:y val="1.3099877084490806E-2"/>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2-6F8A-4762-AA58-01B64C2102BA}"/>
                      </c:ext>
                    </c:extLst>
                  </c:dLbl>
                  <c:dLbl>
                    <c:idx val="7"/>
                    <c:layout>
                      <c:manualLayout>
                        <c:x val="4.1674485532298813E-2"/>
                        <c:y val="-3.8109151597643504E-17"/>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3-6F8A-4762-AA58-01B64C2102BA}"/>
                      </c:ext>
                    </c:extLst>
                  </c:dLbl>
                  <c:dLbl>
                    <c:idx val="8"/>
                    <c:layout>
                      <c:manualLayout>
                        <c:x val="3.8480154558146004E-2"/>
                        <c:y val="2.0787050093353113E-3"/>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4-6F8A-4762-AA58-01B64C2102BA}"/>
                      </c:ext>
                    </c:extLst>
                  </c:dLbl>
                  <c:dLbl>
                    <c:idx val="9"/>
                    <c:layout>
                      <c:manualLayout>
                        <c:x val="2.5371775110577196E-2"/>
                        <c:y val="0"/>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5-6F8A-4762-AA58-01B64C2102B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v-LV"/>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xmlns:c15="http://schemas.microsoft.com/office/drawing/2012/chart">
                      <c:ext xmlns:c15="http://schemas.microsoft.com/office/drawing/2012/chart" uri="{02D57815-91ED-43cb-92C2-25804820EDAC}">
                        <c15:formulaRef>
                          <c15:sqref>Grafiks_brīvais_fin_pa_AI!$F$5:$F$15</c15:sqref>
                        </c15:formulaRef>
                      </c:ext>
                    </c:extLst>
                    <c:numCache>
                      <c:formatCode>#,##0.00</c:formatCode>
                      <c:ptCount val="11"/>
                      <c:pt idx="0">
                        <c:v>0</c:v>
                      </c:pt>
                      <c:pt idx="1">
                        <c:v>0</c:v>
                      </c:pt>
                      <c:pt idx="2">
                        <c:v>36881516</c:v>
                      </c:pt>
                      <c:pt idx="3">
                        <c:v>0</c:v>
                      </c:pt>
                      <c:pt idx="4">
                        <c:v>0</c:v>
                      </c:pt>
                      <c:pt idx="5">
                        <c:v>14530393</c:v>
                      </c:pt>
                      <c:pt idx="6">
                        <c:v>782851</c:v>
                      </c:pt>
                      <c:pt idx="7">
                        <c:v>46914125</c:v>
                      </c:pt>
                      <c:pt idx="8">
                        <c:v>8534803</c:v>
                      </c:pt>
                      <c:pt idx="9">
                        <c:v>116550001</c:v>
                      </c:pt>
                      <c:pt idx="10">
                        <c:v>0</c:v>
                      </c:pt>
                    </c:numCache>
                  </c:numRef>
                </c:val>
                <c:extLst xmlns:c15="http://schemas.microsoft.com/office/drawing/2012/chart">
                  <c:ext xmlns:c16="http://schemas.microsoft.com/office/drawing/2014/chart" uri="{C3380CC4-5D6E-409C-BE32-E72D297353CC}">
                    <c16:uniqueId val="{00000036-6F8A-4762-AA58-01B64C2102BA}"/>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Grafiks_brīvais_fin_pa_AI!$O$3</c15:sqref>
                        </c15:formulaRef>
                      </c:ext>
                    </c:extLst>
                    <c:strCache>
                      <c:ptCount val="1"/>
                      <c:pt idx="0">
                        <c:v>React EU (264 milj. €)</c:v>
                      </c:pt>
                    </c:strCache>
                  </c:strRef>
                </c:tx>
                <c:spPr>
                  <a:solidFill>
                    <a:schemeClr val="accent3">
                      <a:lumMod val="60000"/>
                    </a:schemeClr>
                  </a:solidFill>
                  <a:ln>
                    <a:noFill/>
                  </a:ln>
                  <a:effectLst/>
                </c:spPr>
                <c:invertIfNegative val="0"/>
                <c:dLbls>
                  <c:dLbl>
                    <c:idx val="4"/>
                    <c:layout>
                      <c:manualLayout>
                        <c:x val="1.1069682284429096E-2"/>
                        <c:y val="3.568805158412798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CF57-429C-A30D-0422D059F9F0}"/>
                      </c:ext>
                    </c:extLst>
                  </c:dLbl>
                  <c:dLbl>
                    <c:idx val="5"/>
                    <c:layout>
                      <c:manualLayout>
                        <c:x val="1.106968228442907E-2"/>
                        <c:y val="2.260243266994772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5-CF57-429C-A30D-0422D059F9F0}"/>
                      </c:ext>
                    </c:extLst>
                  </c:dLbl>
                  <c:dLbl>
                    <c:idx val="6"/>
                    <c:layout>
                      <c:manualLayout>
                        <c:x val="3.247106803432543E-2"/>
                        <c:y val="1.1896017194709327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4-CF57-429C-A30D-0422D059F9F0}"/>
                      </c:ext>
                    </c:extLst>
                  </c:dLbl>
                  <c:dLbl>
                    <c:idx val="7"/>
                    <c:layout>
                      <c:manualLayout>
                        <c:x val="1.2545639922353007E-2"/>
                        <c:y val="1.1896017194709327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3-CF57-429C-A30D-0422D059F9F0}"/>
                      </c:ext>
                    </c:extLst>
                  </c:dLbl>
                  <c:dLbl>
                    <c:idx val="8"/>
                    <c:layout>
                      <c:manualLayout>
                        <c:x val="2.5091279844706015E-2"/>
                        <c:y val="0"/>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1-CF57-429C-A30D-0422D059F9F0}"/>
                      </c:ext>
                    </c:extLst>
                  </c:dLbl>
                  <c:dLbl>
                    <c:idx val="9"/>
                    <c:layout>
                      <c:manualLayout>
                        <c:x val="5.9038305516955327E-3"/>
                        <c:y val="3.33088481451861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2-CF57-429C-A30D-0422D059F9F0}"/>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chemeClr val="tx1">
                              <a:lumMod val="75000"/>
                              <a:lumOff val="25000"/>
                            </a:schemeClr>
                          </a:solidFill>
                          <a:latin typeface="+mn-lt"/>
                          <a:ea typeface="+mn-ea"/>
                          <a:cs typeface="+mn-cs"/>
                        </a:defRPr>
                      </a:pPr>
                      <a:endParaRPr lang="lv-LV"/>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xmlns:c15="http://schemas.microsoft.com/office/drawing/2012/chart">
                      <c:ext xmlns:c15="http://schemas.microsoft.com/office/drawing/2012/chart" uri="{02D57815-91ED-43cb-92C2-25804820EDAC}">
                        <c15:formulaRef>
                          <c15:sqref>Grafiks_brīvais_fin_pa_AI!$O$5:$O$15</c15:sqref>
                        </c15:formulaRef>
                      </c:ext>
                    </c:extLst>
                    <c:numCache>
                      <c:formatCode>#,##0.00</c:formatCode>
                      <c:ptCount val="11"/>
                      <c:pt idx="4">
                        <c:v>0</c:v>
                      </c:pt>
                      <c:pt idx="5">
                        <c:v>0</c:v>
                      </c:pt>
                      <c:pt idx="6">
                        <c:v>0</c:v>
                      </c:pt>
                      <c:pt idx="7">
                        <c:v>0</c:v>
                      </c:pt>
                      <c:pt idx="8">
                        <c:v>2524642</c:v>
                      </c:pt>
                      <c:pt idx="9">
                        <c:v>0</c:v>
                      </c:pt>
                    </c:numCache>
                  </c:numRef>
                </c:val>
                <c:extLst xmlns:c15="http://schemas.microsoft.com/office/drawing/2012/chart">
                  <c:ext xmlns:c16="http://schemas.microsoft.com/office/drawing/2014/chart" uri="{C3380CC4-5D6E-409C-BE32-E72D297353CC}">
                    <c16:uniqueId val="{00000000-CF57-429C-A30D-0422D059F9F0}"/>
                  </c:ext>
                </c:extLst>
              </c15:ser>
            </c15:filteredBarSeries>
          </c:ext>
        </c:extLst>
      </c:barChart>
      <c:catAx>
        <c:axId val="6768621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1" i="0" u="none" strike="noStrike" kern="1200" baseline="0">
                <a:solidFill>
                  <a:schemeClr val="accent5">
                    <a:lumMod val="50000"/>
                  </a:schemeClr>
                </a:solidFill>
                <a:latin typeface="+mn-lt"/>
                <a:ea typeface="+mn-ea"/>
                <a:cs typeface="+mn-cs"/>
              </a:defRPr>
            </a:pPr>
            <a:endParaRPr lang="lv-LV"/>
          </a:p>
        </c:txPr>
        <c:crossAx val="676860840"/>
        <c:crosses val="autoZero"/>
        <c:auto val="1"/>
        <c:lblAlgn val="ctr"/>
        <c:lblOffset val="100"/>
        <c:noMultiLvlLbl val="0"/>
      </c:catAx>
      <c:valAx>
        <c:axId val="676860840"/>
        <c:scaling>
          <c:orientation val="minMax"/>
          <c:max val="1400000000"/>
        </c:scaling>
        <c:delete val="0"/>
        <c:axPos val="b"/>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lv-LV"/>
          </a:p>
        </c:txPr>
        <c:crossAx val="676862152"/>
        <c:crosses val="autoZero"/>
        <c:crossBetween val="between"/>
        <c:dispUnits>
          <c:builtInUnit val="millions"/>
        </c:dispUnits>
      </c:valAx>
      <c:valAx>
        <c:axId val="337720712"/>
        <c:scaling>
          <c:orientation val="minMax"/>
          <c:min val="0"/>
        </c:scaling>
        <c:delete val="0"/>
        <c:axPos val="t"/>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lv-LV"/>
          </a:p>
        </c:txPr>
        <c:crossAx val="337727928"/>
        <c:crosses val="max"/>
        <c:crossBetween val="between"/>
        <c:dispUnits>
          <c:builtInUnit val="millions"/>
        </c:dispUnits>
      </c:valAx>
      <c:catAx>
        <c:axId val="337727928"/>
        <c:scaling>
          <c:orientation val="minMax"/>
        </c:scaling>
        <c:delete val="1"/>
        <c:axPos val="l"/>
        <c:numFmt formatCode="General" sourceLinked="1"/>
        <c:majorTickMark val="out"/>
        <c:minorTickMark val="none"/>
        <c:tickLblPos val="nextTo"/>
        <c:crossAx val="337720712"/>
        <c:crosses val="autoZero"/>
        <c:auto val="1"/>
        <c:lblAlgn val="ctr"/>
        <c:lblOffset val="100"/>
        <c:noMultiLvlLbl val="0"/>
      </c:catAx>
      <c:spPr>
        <a:noFill/>
        <a:ln>
          <a:noFill/>
        </a:ln>
        <a:effectLst/>
      </c:spPr>
    </c:plotArea>
    <c:legend>
      <c:legendPos val="b"/>
      <c:legendEntry>
        <c:idx val="2"/>
        <c:txPr>
          <a:bodyPr rot="0" spcFirstLastPara="1" vertOverflow="ellipsis" vert="horz" wrap="square" anchor="ctr" anchorCtr="1"/>
          <a:lstStyle/>
          <a:p>
            <a:pPr>
              <a:defRPr sz="2400" b="1" i="0" u="none" strike="noStrike" kern="1200" baseline="0">
                <a:solidFill>
                  <a:schemeClr val="accent5">
                    <a:lumMod val="50000"/>
                  </a:schemeClr>
                </a:solidFill>
                <a:latin typeface="+mn-lt"/>
                <a:ea typeface="+mn-ea"/>
                <a:cs typeface="+mn-cs"/>
              </a:defRPr>
            </a:pPr>
            <a:endParaRPr lang="lv-LV"/>
          </a:p>
        </c:txPr>
      </c:legendEntry>
      <c:layout>
        <c:manualLayout>
          <c:xMode val="edge"/>
          <c:yMode val="edge"/>
          <c:x val="0.21287380392316108"/>
          <c:y val="0.70750916949260267"/>
          <c:w val="0.59443032073856039"/>
          <c:h val="0.20640320454349179"/>
        </c:manualLayout>
      </c:layout>
      <c:overlay val="0"/>
      <c:spPr>
        <a:noFill/>
        <a:ln>
          <a:noFill/>
        </a:ln>
        <a:effectLst/>
      </c:spPr>
      <c:txPr>
        <a:bodyPr rot="0" spcFirstLastPara="1" vertOverflow="ellipsis" vert="horz" wrap="square" anchor="ctr" anchorCtr="1"/>
        <a:lstStyle/>
        <a:p>
          <a:pPr>
            <a:defRPr sz="2400" b="1" i="0" u="none" strike="noStrike" kern="1200" baseline="0">
              <a:solidFill>
                <a:schemeClr val="accent5">
                  <a:lumMod val="50000"/>
                </a:schemeClr>
              </a:solidFill>
              <a:latin typeface="+mn-lt"/>
              <a:ea typeface="+mn-ea"/>
              <a:cs typeface="+mn-cs"/>
            </a:defRPr>
          </a:pPr>
          <a:endParaRPr lang="lv-LV"/>
        </a:p>
      </c:txPr>
    </c:legend>
    <c:plotVisOnly val="1"/>
    <c:dispBlanksAs val="gap"/>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238126</xdr:colOff>
      <xdr:row>15</xdr:row>
      <xdr:rowOff>23812</xdr:rowOff>
    </xdr:from>
    <xdr:to>
      <xdr:col>6</xdr:col>
      <xdr:colOff>1309686</xdr:colOff>
      <xdr:row>45</xdr:row>
      <xdr:rowOff>142875</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111125</xdr:colOff>
      <xdr:row>6</xdr:row>
      <xdr:rowOff>47625</xdr:rowOff>
    </xdr:from>
    <xdr:to>
      <xdr:col>4</xdr:col>
      <xdr:colOff>368300</xdr:colOff>
      <xdr:row>57</xdr:row>
      <xdr:rowOff>57150</xdr:rowOff>
    </xdr:to>
    <xdr:pic>
      <xdr:nvPicPr>
        <xdr:cNvPr id="2" name="Picture 1">
          <a:extLst>
            <a:ext uri="{FF2B5EF4-FFF2-40B4-BE49-F238E27FC236}">
              <a16:creationId xmlns:a16="http://schemas.microsoft.com/office/drawing/2014/main" id="{1EBA9BF5-9C89-4C99-9EFE-8DB25EC10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125" y="1333500"/>
          <a:ext cx="2670175" cy="9725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301624</xdr:colOff>
      <xdr:row>1</xdr:row>
      <xdr:rowOff>31749</xdr:rowOff>
    </xdr:from>
    <xdr:to>
      <xdr:col>30</xdr:col>
      <xdr:colOff>174625</xdr:colOff>
      <xdr:row>59</xdr:row>
      <xdr:rowOff>0</xdr:rowOff>
    </xdr:to>
    <xdr:graphicFrame macro="">
      <xdr:nvGraphicFramePr>
        <xdr:cNvPr id="3" name="Chart 2">
          <a:extLst>
            <a:ext uri="{FF2B5EF4-FFF2-40B4-BE49-F238E27FC236}">
              <a16:creationId xmlns:a16="http://schemas.microsoft.com/office/drawing/2014/main" id="{A492C821-4AB4-4D8A-942C-352F233777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0.66209</cdr:x>
      <cdr:y>0</cdr:y>
    </cdr:from>
    <cdr:to>
      <cdr:x>0.99632</cdr:x>
      <cdr:y>0.08022</cdr:y>
    </cdr:to>
    <cdr:sp macro="" textlink="">
      <cdr:nvSpPr>
        <cdr:cNvPr id="13" name="TextBox 12"/>
        <cdr:cNvSpPr txBox="1"/>
      </cdr:nvSpPr>
      <cdr:spPr>
        <a:xfrm xmlns:a="http://schemas.openxmlformats.org/drawingml/2006/main">
          <a:off x="11413476" y="0"/>
          <a:ext cx="5761674" cy="85823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lv-LV" sz="1800" b="1">
              <a:solidFill>
                <a:srgbClr val="002060"/>
              </a:solidFill>
              <a:latin typeface="Verdana" panose="020B0604030504040204" pitchFamily="34" charset="0"/>
              <a:ea typeface="Verdana" panose="020B0604030504040204" pitchFamily="34" charset="0"/>
            </a:rPr>
            <a:t>Fondu</a:t>
          </a:r>
          <a:r>
            <a:rPr lang="lv-LV" sz="1800" b="1" baseline="0">
              <a:solidFill>
                <a:srgbClr val="002060"/>
              </a:solidFill>
              <a:latin typeface="Verdana" panose="020B0604030504040204" pitchFamily="34" charset="0"/>
              <a:ea typeface="Verdana" panose="020B0604030504040204" pitchFamily="34" charset="0"/>
            </a:rPr>
            <a:t> </a:t>
          </a:r>
          <a:r>
            <a:rPr lang="lv-LV" sz="1800" b="1">
              <a:solidFill>
                <a:srgbClr val="002060"/>
              </a:solidFill>
              <a:latin typeface="Verdana" panose="020B0604030504040204" pitchFamily="34" charset="0"/>
              <a:ea typeface="Verdana" panose="020B0604030504040204" pitchFamily="34" charset="0"/>
            </a:rPr>
            <a:t>piešķīrums*         </a:t>
          </a:r>
          <a:r>
            <a:rPr lang="lv-LV" sz="1800" b="1">
              <a:solidFill>
                <a:srgbClr val="C00000"/>
              </a:solidFill>
              <a:latin typeface="Verdana" panose="020B0604030504040204" pitchFamily="34" charset="0"/>
              <a:ea typeface="Verdana" panose="020B0604030504040204" pitchFamily="34" charset="0"/>
            </a:rPr>
            <a:t>Virssaistības*   </a:t>
          </a:r>
        </a:p>
        <a:p xmlns:a="http://schemas.openxmlformats.org/drawingml/2006/main">
          <a:pPr algn="r"/>
          <a:r>
            <a:rPr lang="lv-LV" sz="1800" b="1">
              <a:solidFill>
                <a:srgbClr val="002060"/>
              </a:solidFill>
              <a:latin typeface="Verdana" panose="020B0604030504040204" pitchFamily="34" charset="0"/>
              <a:ea typeface="Verdana" panose="020B0604030504040204" pitchFamily="34" charset="0"/>
            </a:rPr>
            <a:t>(milj. </a:t>
          </a:r>
          <a:r>
            <a:rPr lang="lv-LV" sz="1800" b="1">
              <a:solidFill>
                <a:srgbClr val="002060"/>
              </a:solidFill>
              <a:latin typeface="Verdana" panose="020B0604030504040204" pitchFamily="34" charset="0"/>
              <a:ea typeface="Verdana" panose="020B0604030504040204" pitchFamily="34" charset="0"/>
              <a:cs typeface="Times New Roman" panose="02020603050405020304" pitchFamily="18" charset="0"/>
            </a:rPr>
            <a:t>€)</a:t>
          </a:r>
          <a:r>
            <a:rPr lang="lv-LV" sz="1800" b="1">
              <a:solidFill>
                <a:srgbClr val="FF0000"/>
              </a:solidFill>
              <a:latin typeface="Verdana" panose="020B0604030504040204" pitchFamily="34" charset="0"/>
              <a:ea typeface="Verdana" panose="020B0604030504040204" pitchFamily="34" charset="0"/>
              <a:cs typeface="Times New Roman" panose="02020603050405020304" pitchFamily="18" charset="0"/>
            </a:rPr>
            <a:t> </a:t>
          </a:r>
          <a:r>
            <a:rPr lang="lv-LV" sz="1800" b="1">
              <a:solidFill>
                <a:srgbClr val="C00000"/>
              </a:solidFill>
              <a:latin typeface="Verdana" panose="020B0604030504040204" pitchFamily="34" charset="0"/>
              <a:ea typeface="Verdana" panose="020B0604030504040204" pitchFamily="34" charset="0"/>
              <a:cs typeface="Times New Roman" panose="02020603050405020304" pitchFamily="18" charset="0"/>
            </a:rPr>
            <a:t>(ES fondi indikatīvi</a:t>
          </a:r>
        </a:p>
        <a:p xmlns:a="http://schemas.openxmlformats.org/drawingml/2006/main">
          <a:pPr algn="r"/>
          <a:r>
            <a:rPr lang="lv-LV" sz="1800" b="1" baseline="0">
              <a:solidFill>
                <a:srgbClr val="C00000"/>
              </a:solidFill>
              <a:latin typeface="Verdana" panose="020B0604030504040204" pitchFamily="34" charset="0"/>
              <a:ea typeface="Verdana" panose="020B0604030504040204" pitchFamily="34" charset="0"/>
              <a:cs typeface="Times New Roman" panose="02020603050405020304" pitchFamily="18" charset="0"/>
            </a:rPr>
            <a:t>224 milj. €</a:t>
          </a:r>
          <a:r>
            <a:rPr lang="lv-LV" sz="1800" b="1">
              <a:solidFill>
                <a:srgbClr val="C00000"/>
              </a:solidFill>
              <a:latin typeface="Verdana" panose="020B0604030504040204" pitchFamily="34" charset="0"/>
              <a:ea typeface="Verdana" panose="020B0604030504040204" pitchFamily="34" charset="0"/>
              <a:cs typeface="Times New Roman" panose="02020603050405020304" pitchFamily="18" charset="0"/>
            </a:rPr>
            <a:t>)</a:t>
          </a:r>
          <a:endParaRPr lang="lv-LV" sz="1800" b="1">
            <a:solidFill>
              <a:srgbClr val="002060"/>
            </a:solidFill>
            <a:latin typeface="Verdana" panose="020B0604030504040204" pitchFamily="34" charset="0"/>
            <a:ea typeface="Verdana" panose="020B0604030504040204" pitchFamily="34" charset="0"/>
            <a:cs typeface="Times New Roman" panose="02020603050405020304" pitchFamily="18" charset="0"/>
          </a:endParaRPr>
        </a:p>
      </cdr:txBody>
    </cdr:sp>
  </cdr:relSizeAnchor>
  <cdr:relSizeAnchor xmlns:cdr="http://schemas.openxmlformats.org/drawingml/2006/chartDrawing">
    <cdr:from>
      <cdr:x>0.73847</cdr:x>
      <cdr:y>0.08359</cdr:y>
    </cdr:from>
    <cdr:to>
      <cdr:x>0.82018</cdr:x>
      <cdr:y>0.94547</cdr:y>
    </cdr:to>
    <cdr:grpSp>
      <cdr:nvGrpSpPr>
        <cdr:cNvPr id="2" name="Group 1">
          <a:extLst xmlns:a="http://schemas.openxmlformats.org/drawingml/2006/main">
            <a:ext uri="{FF2B5EF4-FFF2-40B4-BE49-F238E27FC236}">
              <a16:creationId xmlns:a16="http://schemas.microsoft.com/office/drawing/2014/main" id="{8EE125FC-35CB-4B0C-87DC-F0E3C57A7226}"/>
            </a:ext>
          </a:extLst>
        </cdr:cNvPr>
        <cdr:cNvGrpSpPr/>
      </cdr:nvGrpSpPr>
      <cdr:grpSpPr>
        <a:xfrm xmlns:a="http://schemas.openxmlformats.org/drawingml/2006/main">
          <a:off x="13270676" y="920932"/>
          <a:ext cx="1468370" cy="9495548"/>
          <a:chOff x="7434746" y="723638"/>
          <a:chExt cx="947880" cy="7209041"/>
        </a:xfrm>
      </cdr:grpSpPr>
      <cdr:sp macro="" textlink="">
        <cdr:nvSpPr>
          <cdr:cNvPr id="3" name="TextBox 2"/>
          <cdr:cNvSpPr txBox="1"/>
        </cdr:nvSpPr>
        <cdr:spPr>
          <a:xfrm xmlns:a="http://schemas.openxmlformats.org/drawingml/2006/main">
            <a:off x="7434746" y="723638"/>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1 216</a:t>
            </a:r>
          </a:p>
        </cdr:txBody>
      </cdr:sp>
      <cdr:sp macro="" textlink="">
        <cdr:nvSpPr>
          <cdr:cNvPr id="4" name="TextBox 2"/>
          <cdr:cNvSpPr txBox="1"/>
        </cdr:nvSpPr>
        <cdr:spPr>
          <a:xfrm xmlns:a="http://schemas.openxmlformats.org/drawingml/2006/main">
            <a:off x="7490327" y="1418933"/>
            <a:ext cx="850301" cy="307141"/>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841</a:t>
            </a:r>
            <a:endParaRPr lang="lv-LV" sz="2400" b="1">
              <a:solidFill>
                <a:schemeClr val="accent3">
                  <a:lumMod val="75000"/>
                </a:schemeClr>
              </a:solidFill>
            </a:endParaRPr>
          </a:p>
        </cdr:txBody>
      </cdr:sp>
      <cdr:sp macro="" textlink="">
        <cdr:nvSpPr>
          <cdr:cNvPr id="5" name="TextBox 2"/>
          <cdr:cNvSpPr txBox="1"/>
        </cdr:nvSpPr>
        <cdr:spPr>
          <a:xfrm xmlns:a="http://schemas.openxmlformats.org/drawingml/2006/main">
            <a:off x="7520765" y="2104190"/>
            <a:ext cx="850301" cy="30714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835</a:t>
            </a:r>
            <a:r>
              <a:rPr lang="lv-LV" sz="2400" b="1" baseline="0">
                <a:solidFill>
                  <a:schemeClr val="accent5">
                    <a:lumMod val="50000"/>
                  </a:schemeClr>
                </a:solidFill>
              </a:rPr>
              <a:t> </a:t>
            </a:r>
            <a:endParaRPr lang="lv-LV" sz="2400" b="1">
              <a:solidFill>
                <a:schemeClr val="accent3">
                  <a:lumMod val="75000"/>
                </a:schemeClr>
              </a:solidFill>
            </a:endParaRPr>
          </a:p>
        </cdr:txBody>
      </cdr:sp>
      <cdr:sp macro="" textlink="">
        <cdr:nvSpPr>
          <cdr:cNvPr id="6" name="TextBox 2"/>
          <cdr:cNvSpPr txBox="1"/>
        </cdr:nvSpPr>
        <cdr:spPr>
          <a:xfrm xmlns:a="http://schemas.openxmlformats.org/drawingml/2006/main">
            <a:off x="7508346" y="2783275"/>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746</a:t>
            </a:r>
            <a:r>
              <a:rPr lang="lv-LV" sz="2400" b="1" baseline="0">
                <a:solidFill>
                  <a:schemeClr val="accent5">
                    <a:lumMod val="50000"/>
                  </a:schemeClr>
                </a:solidFill>
              </a:rPr>
              <a:t> </a:t>
            </a:r>
            <a:endParaRPr lang="lv-LV" sz="2400" b="1">
              <a:solidFill>
                <a:schemeClr val="accent3">
                  <a:lumMod val="75000"/>
                </a:schemeClr>
              </a:solidFill>
            </a:endParaRPr>
          </a:p>
        </cdr:txBody>
      </cdr:sp>
      <cdr:sp macro="" textlink="">
        <cdr:nvSpPr>
          <cdr:cNvPr id="7" name="TextBox 2"/>
          <cdr:cNvSpPr txBox="1"/>
        </cdr:nvSpPr>
        <cdr:spPr>
          <a:xfrm xmlns:a="http://schemas.openxmlformats.org/drawingml/2006/main">
            <a:off x="7492654" y="3501634"/>
            <a:ext cx="850185"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393</a:t>
            </a:r>
            <a:endParaRPr lang="lv-LV" sz="2400" b="1">
              <a:solidFill>
                <a:schemeClr val="accent3">
                  <a:lumMod val="75000"/>
                </a:schemeClr>
              </a:solidFill>
            </a:endParaRPr>
          </a:p>
        </cdr:txBody>
      </cdr:sp>
      <cdr:sp macro="" textlink="">
        <cdr:nvSpPr>
          <cdr:cNvPr id="8" name="TextBox 2"/>
          <cdr:cNvSpPr txBox="1"/>
        </cdr:nvSpPr>
        <cdr:spPr>
          <a:xfrm xmlns:a="http://schemas.openxmlformats.org/drawingml/2006/main">
            <a:off x="7532325" y="4868385"/>
            <a:ext cx="850301" cy="307141"/>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136</a:t>
            </a:r>
            <a:endParaRPr lang="lv-LV" sz="2400" b="1">
              <a:solidFill>
                <a:schemeClr val="accent3">
                  <a:lumMod val="75000"/>
                </a:schemeClr>
              </a:solidFill>
            </a:endParaRPr>
          </a:p>
        </cdr:txBody>
      </cdr:sp>
      <cdr:sp macro="" textlink="">
        <cdr:nvSpPr>
          <cdr:cNvPr id="9" name="TextBox 2"/>
          <cdr:cNvSpPr txBox="1"/>
        </cdr:nvSpPr>
        <cdr:spPr>
          <a:xfrm xmlns:a="http://schemas.openxmlformats.org/drawingml/2006/main">
            <a:off x="7494025" y="4160027"/>
            <a:ext cx="850185" cy="30714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346</a:t>
            </a:r>
            <a:endParaRPr lang="lv-LV" sz="2400" b="1">
              <a:solidFill>
                <a:schemeClr val="accent3">
                  <a:lumMod val="75000"/>
                </a:schemeClr>
              </a:solidFill>
            </a:endParaRPr>
          </a:p>
        </cdr:txBody>
      </cdr:sp>
      <cdr:sp macro="" textlink="">
        <cdr:nvSpPr>
          <cdr:cNvPr id="10" name="TextBox 2"/>
          <cdr:cNvSpPr txBox="1"/>
        </cdr:nvSpPr>
        <cdr:spPr>
          <a:xfrm xmlns:a="http://schemas.openxmlformats.org/drawingml/2006/main">
            <a:off x="7523748" y="5580974"/>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101</a:t>
            </a:r>
          </a:p>
        </cdr:txBody>
      </cdr:sp>
      <cdr:sp macro="" textlink="">
        <cdr:nvSpPr>
          <cdr:cNvPr id="11" name="TextBox 2"/>
          <cdr:cNvSpPr txBox="1"/>
        </cdr:nvSpPr>
        <cdr:spPr>
          <a:xfrm xmlns:a="http://schemas.openxmlformats.org/drawingml/2006/main">
            <a:off x="7522709" y="6247198"/>
            <a:ext cx="850185" cy="307056"/>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0</a:t>
            </a:r>
          </a:p>
        </cdr:txBody>
      </cdr:sp>
      <cdr:sp macro="" textlink="">
        <cdr:nvSpPr>
          <cdr:cNvPr id="12" name="TextBox 2"/>
          <cdr:cNvSpPr txBox="1"/>
        </cdr:nvSpPr>
        <cdr:spPr>
          <a:xfrm xmlns:a="http://schemas.openxmlformats.org/drawingml/2006/main">
            <a:off x="7521896" y="6897445"/>
            <a:ext cx="850301" cy="307056"/>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17</a:t>
            </a:r>
          </a:p>
        </cdr:txBody>
      </cdr:sp>
      <cdr:sp macro="" textlink="">
        <cdr:nvSpPr>
          <cdr:cNvPr id="74" name="TextBox 2"/>
          <cdr:cNvSpPr txBox="1"/>
        </cdr:nvSpPr>
        <cdr:spPr>
          <a:xfrm xmlns:a="http://schemas.openxmlformats.org/drawingml/2006/main">
            <a:off x="7519245" y="7625622"/>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9</a:t>
            </a:r>
          </a:p>
        </cdr:txBody>
      </cdr:sp>
    </cdr:grpSp>
  </cdr:relSizeAnchor>
  <cdr:relSizeAnchor xmlns:cdr="http://schemas.openxmlformats.org/drawingml/2006/chartDrawing">
    <cdr:from>
      <cdr:x>0.21425</cdr:x>
      <cdr:y>0.95803</cdr:y>
    </cdr:from>
    <cdr:to>
      <cdr:x>0.89314</cdr:x>
      <cdr:y>1</cdr:y>
    </cdr:to>
    <cdr:sp macro="" textlink="">
      <cdr:nvSpPr>
        <cdr:cNvPr id="75" name="TextBox 74"/>
        <cdr:cNvSpPr txBox="1"/>
      </cdr:nvSpPr>
      <cdr:spPr>
        <a:xfrm xmlns:a="http://schemas.openxmlformats.org/drawingml/2006/main">
          <a:off x="1811439" y="7578767"/>
          <a:ext cx="5739741" cy="33204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lv-LV" sz="1100"/>
        </a:p>
      </cdr:txBody>
    </cdr:sp>
  </cdr:relSizeAnchor>
  <cdr:relSizeAnchor xmlns:cdr="http://schemas.openxmlformats.org/drawingml/2006/chartDrawing">
    <cdr:from>
      <cdr:x>0.26802</cdr:x>
      <cdr:y>0.90643</cdr:y>
    </cdr:from>
    <cdr:to>
      <cdr:x>0.64051</cdr:x>
      <cdr:y>0.99216</cdr:y>
    </cdr:to>
    <cdr:sp macro="" textlink="">
      <cdr:nvSpPr>
        <cdr:cNvPr id="76" name="TextBox 75"/>
        <cdr:cNvSpPr txBox="1"/>
      </cdr:nvSpPr>
      <cdr:spPr>
        <a:xfrm xmlns:a="http://schemas.openxmlformats.org/drawingml/2006/main">
          <a:off x="4620303" y="9697410"/>
          <a:ext cx="6421225" cy="9171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lv-LV" sz="1700" b="1" i="1">
              <a:solidFill>
                <a:srgbClr val="002060"/>
              </a:solidFill>
            </a:rPr>
            <a:t>*</a:t>
          </a:r>
          <a:r>
            <a:rPr lang="lv-LV" sz="1700" b="1" i="1" baseline="0">
              <a:solidFill>
                <a:srgbClr val="002060"/>
              </a:solidFill>
            </a:rPr>
            <a:t> t.sk. finasējum</a:t>
          </a:r>
          <a:r>
            <a:rPr lang="lv-LV" sz="1700" b="1" i="1" baseline="0">
              <a:solidFill>
                <a:srgbClr val="002060"/>
              </a:solidFill>
              <a:latin typeface="+mn-lt"/>
              <a:ea typeface="+mn-ea"/>
              <a:cs typeface="+mn-cs"/>
            </a:rPr>
            <a:t>s, par kuru plānots virzīt MK noteikumu grozījumus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700" b="1" i="1" baseline="0">
              <a:solidFill>
                <a:srgbClr val="002060"/>
              </a:solidFill>
              <a:latin typeface="+mn-lt"/>
              <a:ea typeface="+mn-ea"/>
              <a:cs typeface="+mn-cs"/>
            </a:rPr>
            <a:t>Virssaistības ņemot vērā MK 08.06.2021.32.§ lemto par virssaistību pārcelšanu uz React-EU</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700" b="1" i="1" baseline="0">
              <a:solidFill>
                <a:srgbClr val="002060"/>
              </a:solidFill>
              <a:latin typeface="+mn-lt"/>
              <a:ea typeface="+mn-ea"/>
              <a:cs typeface="+mn-cs"/>
            </a:rPr>
            <a:t>kā ari EK lēmumu par REACT EU 2.pārskaitījumu un pāreju uz 100% likmi.</a:t>
          </a:r>
        </a:p>
        <a:p xmlns:a="http://schemas.openxmlformats.org/drawingml/2006/main">
          <a:endParaRPr lang="lv-LV" sz="1700" b="1" i="1">
            <a:solidFill>
              <a:srgbClr val="002060"/>
            </a:solidFill>
          </a:endParaRPr>
        </a:p>
      </cdr:txBody>
    </cdr:sp>
  </cdr:relSizeAnchor>
  <cdr:relSizeAnchor xmlns:cdr="http://schemas.openxmlformats.org/drawingml/2006/chartDrawing">
    <cdr:from>
      <cdr:x>0.87947</cdr:x>
      <cdr:y>0.1644</cdr:y>
    </cdr:from>
    <cdr:to>
      <cdr:x>0.95276</cdr:x>
      <cdr:y>0.20112</cdr:y>
    </cdr:to>
    <cdr:sp macro="" textlink="">
      <cdr:nvSpPr>
        <cdr:cNvPr id="19" name="TextBox 2"/>
        <cdr:cNvSpPr txBox="1"/>
      </cdr:nvSpPr>
      <cdr:spPr>
        <a:xfrm xmlns:a="http://schemas.openxmlformats.org/drawingml/2006/main">
          <a:off x="15160891" y="1758818"/>
          <a:ext cx="1263421" cy="39285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+ 109</a:t>
          </a:r>
        </a:p>
      </cdr:txBody>
    </cdr:sp>
  </cdr:relSizeAnchor>
  <cdr:relSizeAnchor xmlns:cdr="http://schemas.openxmlformats.org/drawingml/2006/chartDrawing">
    <cdr:from>
      <cdr:x>0.87605</cdr:x>
      <cdr:y>0.24748</cdr:y>
    </cdr:from>
    <cdr:to>
      <cdr:x>0.94935</cdr:x>
      <cdr:y>0.2842</cdr:y>
    </cdr:to>
    <cdr:sp macro="" textlink="">
      <cdr:nvSpPr>
        <cdr:cNvPr id="20" name="TextBox 2"/>
        <cdr:cNvSpPr txBox="1"/>
      </cdr:nvSpPr>
      <cdr:spPr>
        <a:xfrm xmlns:a="http://schemas.openxmlformats.org/drawingml/2006/main">
          <a:off x="15101932" y="2647653"/>
          <a:ext cx="1263593" cy="39285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+ 9</a:t>
          </a:r>
        </a:p>
      </cdr:txBody>
    </cdr:sp>
  </cdr:relSizeAnchor>
  <cdr:relSizeAnchor xmlns:cdr="http://schemas.openxmlformats.org/drawingml/2006/chartDrawing">
    <cdr:from>
      <cdr:x>0.8808</cdr:x>
      <cdr:y>0.33338</cdr:y>
    </cdr:from>
    <cdr:to>
      <cdr:x>0.9541</cdr:x>
      <cdr:y>0.37009</cdr:y>
    </cdr:to>
    <cdr:sp macro="" textlink="">
      <cdr:nvSpPr>
        <cdr:cNvPr id="21" name="TextBox 2"/>
        <cdr:cNvSpPr txBox="1"/>
      </cdr:nvSpPr>
      <cdr:spPr>
        <a:xfrm xmlns:a="http://schemas.openxmlformats.org/drawingml/2006/main">
          <a:off x="15183883" y="3566673"/>
          <a:ext cx="1263593" cy="392742"/>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a:t>
          </a:r>
          <a:r>
            <a:rPr lang="lv-LV" sz="2400" b="1" baseline="0">
              <a:solidFill>
                <a:srgbClr val="C00000"/>
              </a:solidFill>
            </a:rPr>
            <a:t> 47</a:t>
          </a:r>
          <a:endParaRPr lang="lv-LV" sz="2400" b="1">
            <a:solidFill>
              <a:srgbClr val="C00000"/>
            </a:solidFill>
          </a:endParaRPr>
        </a:p>
      </cdr:txBody>
    </cdr:sp>
  </cdr:relSizeAnchor>
  <cdr:relSizeAnchor xmlns:cdr="http://schemas.openxmlformats.org/drawingml/2006/chartDrawing">
    <cdr:from>
      <cdr:x>0.88133</cdr:x>
      <cdr:y>0.7427</cdr:y>
    </cdr:from>
    <cdr:to>
      <cdr:x>0.95462</cdr:x>
      <cdr:y>0.77942</cdr:y>
    </cdr:to>
    <cdr:sp macro="" textlink="">
      <cdr:nvSpPr>
        <cdr:cNvPr id="23" name="TextBox 2"/>
        <cdr:cNvSpPr txBox="1"/>
      </cdr:nvSpPr>
      <cdr:spPr>
        <a:xfrm xmlns:a="http://schemas.openxmlformats.org/drawingml/2006/main">
          <a:off x="15192924" y="7945804"/>
          <a:ext cx="1263421" cy="392849"/>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a:t>
          </a:r>
          <a:r>
            <a:rPr lang="lv-LV" sz="2400" b="1" baseline="0">
              <a:solidFill>
                <a:srgbClr val="C00000"/>
              </a:solidFill>
            </a:rPr>
            <a:t> 3</a:t>
          </a:r>
          <a:r>
            <a:rPr lang="lv-LV" sz="2400" b="1">
              <a:solidFill>
                <a:srgbClr val="C00000"/>
              </a:solidFill>
            </a:rPr>
            <a:t>7</a:t>
          </a:r>
        </a:p>
      </cdr:txBody>
    </cdr:sp>
  </cdr:relSizeAnchor>
  <cdr:relSizeAnchor xmlns:cdr="http://schemas.openxmlformats.org/drawingml/2006/chartDrawing">
    <cdr:from>
      <cdr:x>0.88026</cdr:x>
      <cdr:y>0.49376</cdr:y>
    </cdr:from>
    <cdr:to>
      <cdr:x>0.95355</cdr:x>
      <cdr:y>0.53048</cdr:y>
    </cdr:to>
    <cdr:sp macro="" textlink="">
      <cdr:nvSpPr>
        <cdr:cNvPr id="24" name="TextBox 2"/>
        <cdr:cNvSpPr txBox="1"/>
      </cdr:nvSpPr>
      <cdr:spPr>
        <a:xfrm xmlns:a="http://schemas.openxmlformats.org/drawingml/2006/main">
          <a:off x="15174417" y="5282501"/>
          <a:ext cx="1263420" cy="39285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+ 15</a:t>
          </a:r>
        </a:p>
      </cdr:txBody>
    </cdr:sp>
  </cdr:relSizeAnchor>
  <cdr:relSizeAnchor xmlns:cdr="http://schemas.openxmlformats.org/drawingml/2006/chartDrawing">
    <cdr:from>
      <cdr:x>0.87503</cdr:x>
      <cdr:y>0.41429</cdr:y>
    </cdr:from>
    <cdr:to>
      <cdr:x>0.94833</cdr:x>
      <cdr:y>0.451</cdr:y>
    </cdr:to>
    <cdr:sp macro="" textlink="">
      <cdr:nvSpPr>
        <cdr:cNvPr id="22" name="TextBox 2">
          <a:extLst xmlns:a="http://schemas.openxmlformats.org/drawingml/2006/main">
            <a:ext uri="{FF2B5EF4-FFF2-40B4-BE49-F238E27FC236}">
              <a16:creationId xmlns:a16="http://schemas.microsoft.com/office/drawing/2014/main" id="{9038B97E-DBE1-41AA-AEDB-4A431EE4D671}"/>
            </a:ext>
          </a:extLst>
        </cdr:cNvPr>
        <cdr:cNvSpPr txBox="1"/>
      </cdr:nvSpPr>
      <cdr:spPr>
        <a:xfrm xmlns:a="http://schemas.openxmlformats.org/drawingml/2006/main">
          <a:off x="15084385" y="4432290"/>
          <a:ext cx="1263593" cy="392743"/>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a:t>
          </a:r>
          <a:r>
            <a:rPr lang="lv-LV" sz="2400" b="1" baseline="0">
              <a:solidFill>
                <a:srgbClr val="C00000"/>
              </a:solidFill>
            </a:rPr>
            <a:t> 1</a:t>
          </a:r>
          <a:endParaRPr lang="lv-LV" sz="2400" b="1">
            <a:solidFill>
              <a:srgbClr val="C00000"/>
            </a:solidFill>
          </a:endParaRPr>
        </a:p>
      </cdr:txBody>
    </cdr:sp>
  </cdr:relSizeAnchor>
</c:userShapes>
</file>

<file path=xl/drawings/drawing4.xml><?xml version="1.0" encoding="utf-8"?>
<xdr:wsDr xmlns:xdr="http://schemas.openxmlformats.org/drawingml/2006/spreadsheetDrawing" xmlns:a="http://schemas.openxmlformats.org/drawingml/2006/main">
  <xdr:twoCellAnchor>
    <xdr:from>
      <xdr:col>1</xdr:col>
      <xdr:colOff>0</xdr:colOff>
      <xdr:row>2</xdr:row>
      <xdr:rowOff>0</xdr:rowOff>
    </xdr:from>
    <xdr:to>
      <xdr:col>2</xdr:col>
      <xdr:colOff>2166924</xdr:colOff>
      <xdr:row>2</xdr:row>
      <xdr:rowOff>57150</xdr:rowOff>
    </xdr:to>
    <xdr:pic>
      <xdr:nvPicPr>
        <xdr:cNvPr id="2" name="Picture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3" name="Picture 2">
          <a:extLst>
            <a:ext uri="{FF2B5EF4-FFF2-40B4-BE49-F238E27FC236}">
              <a16:creationId xmlns:a16="http://schemas.microsoft.com/office/drawing/2014/main" id="{00000000-0008-0000-0A00-000003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4" name="Picture 3">
          <a:extLst>
            <a:ext uri="{FF2B5EF4-FFF2-40B4-BE49-F238E27FC236}">
              <a16:creationId xmlns:a16="http://schemas.microsoft.com/office/drawing/2014/main" id="{00000000-0008-0000-0A00-000004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5" name="Picture 4">
          <a:extLst>
            <a:ext uri="{FF2B5EF4-FFF2-40B4-BE49-F238E27FC236}">
              <a16:creationId xmlns:a16="http://schemas.microsoft.com/office/drawing/2014/main" id="{00000000-0008-0000-0A00-000005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6" name="Picture 5">
          <a:extLst>
            <a:ext uri="{FF2B5EF4-FFF2-40B4-BE49-F238E27FC236}">
              <a16:creationId xmlns:a16="http://schemas.microsoft.com/office/drawing/2014/main" id="{00000000-0008-0000-0A00-000006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7" name="Picture 6">
          <a:extLst>
            <a:ext uri="{FF2B5EF4-FFF2-40B4-BE49-F238E27FC236}">
              <a16:creationId xmlns:a16="http://schemas.microsoft.com/office/drawing/2014/main" id="{00000000-0008-0000-0A00-000007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 name="Picture 8">
          <a:extLst>
            <a:ext uri="{FF2B5EF4-FFF2-40B4-BE49-F238E27FC236}">
              <a16:creationId xmlns:a16="http://schemas.microsoft.com/office/drawing/2014/main" id="{00000000-0008-0000-0A00-000009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 name="Picture 9">
          <a:extLst>
            <a:ext uri="{FF2B5EF4-FFF2-40B4-BE49-F238E27FC236}">
              <a16:creationId xmlns:a16="http://schemas.microsoft.com/office/drawing/2014/main" id="{00000000-0008-0000-0A00-00000A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 name="Picture 10">
          <a:extLst>
            <a:ext uri="{FF2B5EF4-FFF2-40B4-BE49-F238E27FC236}">
              <a16:creationId xmlns:a16="http://schemas.microsoft.com/office/drawing/2014/main" id="{00000000-0008-0000-0A00-00000B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3" name="Picture 12">
          <a:extLst>
            <a:ext uri="{FF2B5EF4-FFF2-40B4-BE49-F238E27FC236}">
              <a16:creationId xmlns:a16="http://schemas.microsoft.com/office/drawing/2014/main" id="{00000000-0008-0000-0A00-00000D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2" name="Picture 11">
          <a:extLst>
            <a:ext uri="{FF2B5EF4-FFF2-40B4-BE49-F238E27FC236}">
              <a16:creationId xmlns:a16="http://schemas.microsoft.com/office/drawing/2014/main" id="{00000000-0008-0000-0A00-00000C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4" name="Picture 13">
          <a:extLst>
            <a:ext uri="{FF2B5EF4-FFF2-40B4-BE49-F238E27FC236}">
              <a16:creationId xmlns:a16="http://schemas.microsoft.com/office/drawing/2014/main" id="{00000000-0008-0000-0A00-00000E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6" name="Picture 15">
          <a:extLst>
            <a:ext uri="{FF2B5EF4-FFF2-40B4-BE49-F238E27FC236}">
              <a16:creationId xmlns:a16="http://schemas.microsoft.com/office/drawing/2014/main" id="{00000000-0008-0000-0A00-000010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5" name="Picture 14">
          <a:extLst>
            <a:ext uri="{FF2B5EF4-FFF2-40B4-BE49-F238E27FC236}">
              <a16:creationId xmlns:a16="http://schemas.microsoft.com/office/drawing/2014/main" id="{00000000-0008-0000-0A00-00000F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7" name="Picture 16">
          <a:extLst>
            <a:ext uri="{FF2B5EF4-FFF2-40B4-BE49-F238E27FC236}">
              <a16:creationId xmlns:a16="http://schemas.microsoft.com/office/drawing/2014/main" id="{00000000-0008-0000-0A00-000011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8" name="Picture 17">
          <a:extLst>
            <a:ext uri="{FF2B5EF4-FFF2-40B4-BE49-F238E27FC236}">
              <a16:creationId xmlns:a16="http://schemas.microsoft.com/office/drawing/2014/main" id="{00000000-0008-0000-0A00-000012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9" name="Picture 18">
          <a:extLst>
            <a:ext uri="{FF2B5EF4-FFF2-40B4-BE49-F238E27FC236}">
              <a16:creationId xmlns:a16="http://schemas.microsoft.com/office/drawing/2014/main" id="{00000000-0008-0000-0A00-000013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0" name="Picture 19">
          <a:extLst>
            <a:ext uri="{FF2B5EF4-FFF2-40B4-BE49-F238E27FC236}">
              <a16:creationId xmlns:a16="http://schemas.microsoft.com/office/drawing/2014/main" id="{00000000-0008-0000-0A00-000014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1" name="Picture 20">
          <a:extLst>
            <a:ext uri="{FF2B5EF4-FFF2-40B4-BE49-F238E27FC236}">
              <a16:creationId xmlns:a16="http://schemas.microsoft.com/office/drawing/2014/main" id="{00000000-0008-0000-0A00-000015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2" name="Picture 21">
          <a:extLst>
            <a:ext uri="{FF2B5EF4-FFF2-40B4-BE49-F238E27FC236}">
              <a16:creationId xmlns:a16="http://schemas.microsoft.com/office/drawing/2014/main" id="{00000000-0008-0000-0A00-000016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3" name="Picture 22">
          <a:extLst>
            <a:ext uri="{FF2B5EF4-FFF2-40B4-BE49-F238E27FC236}">
              <a16:creationId xmlns:a16="http://schemas.microsoft.com/office/drawing/2014/main" id="{00000000-0008-0000-0A00-000017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4" name="Picture 23">
          <a:extLst>
            <a:ext uri="{FF2B5EF4-FFF2-40B4-BE49-F238E27FC236}">
              <a16:creationId xmlns:a16="http://schemas.microsoft.com/office/drawing/2014/main" id="{00000000-0008-0000-0A00-000018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5" name="Picture 24">
          <a:extLst>
            <a:ext uri="{FF2B5EF4-FFF2-40B4-BE49-F238E27FC236}">
              <a16:creationId xmlns:a16="http://schemas.microsoft.com/office/drawing/2014/main" id="{00000000-0008-0000-0A00-000019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6" name="Picture 25">
          <a:extLst>
            <a:ext uri="{FF2B5EF4-FFF2-40B4-BE49-F238E27FC236}">
              <a16:creationId xmlns:a16="http://schemas.microsoft.com/office/drawing/2014/main" id="{00000000-0008-0000-0A00-00001A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7" name="Picture 26">
          <a:extLst>
            <a:ext uri="{FF2B5EF4-FFF2-40B4-BE49-F238E27FC236}">
              <a16:creationId xmlns:a16="http://schemas.microsoft.com/office/drawing/2014/main" id="{00000000-0008-0000-0A00-00001B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8" name="Picture 27">
          <a:extLst>
            <a:ext uri="{FF2B5EF4-FFF2-40B4-BE49-F238E27FC236}">
              <a16:creationId xmlns:a16="http://schemas.microsoft.com/office/drawing/2014/main" id="{00000000-0008-0000-0A00-00001C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9" name="Picture 28">
          <a:extLst>
            <a:ext uri="{FF2B5EF4-FFF2-40B4-BE49-F238E27FC236}">
              <a16:creationId xmlns:a16="http://schemas.microsoft.com/office/drawing/2014/main" id="{00000000-0008-0000-0A00-00001D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0" name="Picture 29">
          <a:extLst>
            <a:ext uri="{FF2B5EF4-FFF2-40B4-BE49-F238E27FC236}">
              <a16:creationId xmlns:a16="http://schemas.microsoft.com/office/drawing/2014/main" id="{00000000-0008-0000-0A00-00001E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1" name="Picture 30">
          <a:extLst>
            <a:ext uri="{FF2B5EF4-FFF2-40B4-BE49-F238E27FC236}">
              <a16:creationId xmlns:a16="http://schemas.microsoft.com/office/drawing/2014/main" id="{00000000-0008-0000-0A00-00001F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2" name="Picture 31">
          <a:extLst>
            <a:ext uri="{FF2B5EF4-FFF2-40B4-BE49-F238E27FC236}">
              <a16:creationId xmlns:a16="http://schemas.microsoft.com/office/drawing/2014/main" id="{00000000-0008-0000-0A00-000020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3" name="Picture 32">
          <a:extLst>
            <a:ext uri="{FF2B5EF4-FFF2-40B4-BE49-F238E27FC236}">
              <a16:creationId xmlns:a16="http://schemas.microsoft.com/office/drawing/2014/main" id="{00000000-0008-0000-0A00-000021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4" name="Picture 33">
          <a:extLst>
            <a:ext uri="{FF2B5EF4-FFF2-40B4-BE49-F238E27FC236}">
              <a16:creationId xmlns:a16="http://schemas.microsoft.com/office/drawing/2014/main" id="{00000000-0008-0000-0A00-000022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5" name="Picture 34">
          <a:extLst>
            <a:ext uri="{FF2B5EF4-FFF2-40B4-BE49-F238E27FC236}">
              <a16:creationId xmlns:a16="http://schemas.microsoft.com/office/drawing/2014/main" id="{00000000-0008-0000-0A00-000023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6" name="Picture 35">
          <a:extLst>
            <a:ext uri="{FF2B5EF4-FFF2-40B4-BE49-F238E27FC236}">
              <a16:creationId xmlns:a16="http://schemas.microsoft.com/office/drawing/2014/main" id="{00000000-0008-0000-0A00-000024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7" name="Picture 36">
          <a:extLst>
            <a:ext uri="{FF2B5EF4-FFF2-40B4-BE49-F238E27FC236}">
              <a16:creationId xmlns:a16="http://schemas.microsoft.com/office/drawing/2014/main" id="{00000000-0008-0000-0A00-000025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8" name="Picture 37">
          <a:extLst>
            <a:ext uri="{FF2B5EF4-FFF2-40B4-BE49-F238E27FC236}">
              <a16:creationId xmlns:a16="http://schemas.microsoft.com/office/drawing/2014/main" id="{00000000-0008-0000-0A00-000026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9" name="Picture 38">
          <a:extLst>
            <a:ext uri="{FF2B5EF4-FFF2-40B4-BE49-F238E27FC236}">
              <a16:creationId xmlns:a16="http://schemas.microsoft.com/office/drawing/2014/main" id="{00000000-0008-0000-0A00-000027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0" name="Picture 39">
          <a:extLst>
            <a:ext uri="{FF2B5EF4-FFF2-40B4-BE49-F238E27FC236}">
              <a16:creationId xmlns:a16="http://schemas.microsoft.com/office/drawing/2014/main" id="{00000000-0008-0000-0A00-000028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1" name="Picture 40">
          <a:extLst>
            <a:ext uri="{FF2B5EF4-FFF2-40B4-BE49-F238E27FC236}">
              <a16:creationId xmlns:a16="http://schemas.microsoft.com/office/drawing/2014/main" id="{00000000-0008-0000-0A00-000029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2" name="Picture 41">
          <a:extLst>
            <a:ext uri="{FF2B5EF4-FFF2-40B4-BE49-F238E27FC236}">
              <a16:creationId xmlns:a16="http://schemas.microsoft.com/office/drawing/2014/main" id="{00000000-0008-0000-0A00-00002A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3" name="Picture 42">
          <a:extLst>
            <a:ext uri="{FF2B5EF4-FFF2-40B4-BE49-F238E27FC236}">
              <a16:creationId xmlns:a16="http://schemas.microsoft.com/office/drawing/2014/main" id="{00000000-0008-0000-0A00-00002B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4" name="Picture 43">
          <a:extLst>
            <a:ext uri="{FF2B5EF4-FFF2-40B4-BE49-F238E27FC236}">
              <a16:creationId xmlns:a16="http://schemas.microsoft.com/office/drawing/2014/main" id="{00000000-0008-0000-0A00-00002C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5" name="Picture 44">
          <a:extLst>
            <a:ext uri="{FF2B5EF4-FFF2-40B4-BE49-F238E27FC236}">
              <a16:creationId xmlns:a16="http://schemas.microsoft.com/office/drawing/2014/main" id="{00000000-0008-0000-0A00-00002D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6" name="Picture 45">
          <a:extLst>
            <a:ext uri="{FF2B5EF4-FFF2-40B4-BE49-F238E27FC236}">
              <a16:creationId xmlns:a16="http://schemas.microsoft.com/office/drawing/2014/main" id="{00000000-0008-0000-0A00-00002E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7" name="Picture 46">
          <a:extLst>
            <a:ext uri="{FF2B5EF4-FFF2-40B4-BE49-F238E27FC236}">
              <a16:creationId xmlns:a16="http://schemas.microsoft.com/office/drawing/2014/main" id="{00000000-0008-0000-0A00-00002F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8" name="Picture 47">
          <a:extLst>
            <a:ext uri="{FF2B5EF4-FFF2-40B4-BE49-F238E27FC236}">
              <a16:creationId xmlns:a16="http://schemas.microsoft.com/office/drawing/2014/main" id="{00000000-0008-0000-0A00-000030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9" name="Picture 48">
          <a:extLst>
            <a:ext uri="{FF2B5EF4-FFF2-40B4-BE49-F238E27FC236}">
              <a16:creationId xmlns:a16="http://schemas.microsoft.com/office/drawing/2014/main" id="{00000000-0008-0000-0A00-000031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50" name="Picture 49">
          <a:extLst>
            <a:ext uri="{FF2B5EF4-FFF2-40B4-BE49-F238E27FC236}">
              <a16:creationId xmlns:a16="http://schemas.microsoft.com/office/drawing/2014/main" id="{00000000-0008-0000-0A00-000032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51" name="Picture 50">
          <a:extLst>
            <a:ext uri="{FF2B5EF4-FFF2-40B4-BE49-F238E27FC236}">
              <a16:creationId xmlns:a16="http://schemas.microsoft.com/office/drawing/2014/main" id="{00000000-0008-0000-0A00-000033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52" name="Picture 51">
          <a:extLst>
            <a:ext uri="{FF2B5EF4-FFF2-40B4-BE49-F238E27FC236}">
              <a16:creationId xmlns:a16="http://schemas.microsoft.com/office/drawing/2014/main" id="{00000000-0008-0000-0A00-000034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53" name="Picture 52">
          <a:extLst>
            <a:ext uri="{FF2B5EF4-FFF2-40B4-BE49-F238E27FC236}">
              <a16:creationId xmlns:a16="http://schemas.microsoft.com/office/drawing/2014/main" id="{00000000-0008-0000-0A00-000035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54" name="Picture 53">
          <a:extLst>
            <a:ext uri="{FF2B5EF4-FFF2-40B4-BE49-F238E27FC236}">
              <a16:creationId xmlns:a16="http://schemas.microsoft.com/office/drawing/2014/main" id="{00000000-0008-0000-0A00-000036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55" name="Picture 54">
          <a:extLst>
            <a:ext uri="{FF2B5EF4-FFF2-40B4-BE49-F238E27FC236}">
              <a16:creationId xmlns:a16="http://schemas.microsoft.com/office/drawing/2014/main" id="{00000000-0008-0000-0A00-000037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56" name="Picture 55">
          <a:extLst>
            <a:ext uri="{FF2B5EF4-FFF2-40B4-BE49-F238E27FC236}">
              <a16:creationId xmlns:a16="http://schemas.microsoft.com/office/drawing/2014/main" id="{00000000-0008-0000-0A00-000038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57" name="Picture 56">
          <a:extLst>
            <a:ext uri="{FF2B5EF4-FFF2-40B4-BE49-F238E27FC236}">
              <a16:creationId xmlns:a16="http://schemas.microsoft.com/office/drawing/2014/main" id="{00000000-0008-0000-0A00-000039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58" name="Picture 57">
          <a:extLst>
            <a:ext uri="{FF2B5EF4-FFF2-40B4-BE49-F238E27FC236}">
              <a16:creationId xmlns:a16="http://schemas.microsoft.com/office/drawing/2014/main" id="{00000000-0008-0000-0A00-00003A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59" name="Picture 58">
          <a:extLst>
            <a:ext uri="{FF2B5EF4-FFF2-40B4-BE49-F238E27FC236}">
              <a16:creationId xmlns:a16="http://schemas.microsoft.com/office/drawing/2014/main" id="{00000000-0008-0000-0A00-00003B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60" name="Picture 59">
          <a:extLst>
            <a:ext uri="{FF2B5EF4-FFF2-40B4-BE49-F238E27FC236}">
              <a16:creationId xmlns:a16="http://schemas.microsoft.com/office/drawing/2014/main" id="{00000000-0008-0000-0A00-00003C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1" name="Picture 60">
          <a:extLst>
            <a:ext uri="{FF2B5EF4-FFF2-40B4-BE49-F238E27FC236}">
              <a16:creationId xmlns:a16="http://schemas.microsoft.com/office/drawing/2014/main" id="{00000000-0008-0000-0A00-00003D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2" name="Picture 61">
          <a:extLst>
            <a:ext uri="{FF2B5EF4-FFF2-40B4-BE49-F238E27FC236}">
              <a16:creationId xmlns:a16="http://schemas.microsoft.com/office/drawing/2014/main" id="{00000000-0008-0000-0A00-00003E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3" name="Picture 62">
          <a:extLst>
            <a:ext uri="{FF2B5EF4-FFF2-40B4-BE49-F238E27FC236}">
              <a16:creationId xmlns:a16="http://schemas.microsoft.com/office/drawing/2014/main" id="{00000000-0008-0000-0A00-00003F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4" name="Picture 63">
          <a:extLst>
            <a:ext uri="{FF2B5EF4-FFF2-40B4-BE49-F238E27FC236}">
              <a16:creationId xmlns:a16="http://schemas.microsoft.com/office/drawing/2014/main" id="{00000000-0008-0000-0A00-000040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5" name="Picture 64">
          <a:extLst>
            <a:ext uri="{FF2B5EF4-FFF2-40B4-BE49-F238E27FC236}">
              <a16:creationId xmlns:a16="http://schemas.microsoft.com/office/drawing/2014/main" id="{00000000-0008-0000-0A00-000041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6" name="Picture 65">
          <a:extLst>
            <a:ext uri="{FF2B5EF4-FFF2-40B4-BE49-F238E27FC236}">
              <a16:creationId xmlns:a16="http://schemas.microsoft.com/office/drawing/2014/main" id="{00000000-0008-0000-0A00-000042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7" name="Picture 66">
          <a:extLst>
            <a:ext uri="{FF2B5EF4-FFF2-40B4-BE49-F238E27FC236}">
              <a16:creationId xmlns:a16="http://schemas.microsoft.com/office/drawing/2014/main" id="{00000000-0008-0000-0A00-000043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8" name="Picture 67">
          <a:extLst>
            <a:ext uri="{FF2B5EF4-FFF2-40B4-BE49-F238E27FC236}">
              <a16:creationId xmlns:a16="http://schemas.microsoft.com/office/drawing/2014/main" id="{00000000-0008-0000-0A00-000044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9" name="Picture 68">
          <a:extLst>
            <a:ext uri="{FF2B5EF4-FFF2-40B4-BE49-F238E27FC236}">
              <a16:creationId xmlns:a16="http://schemas.microsoft.com/office/drawing/2014/main" id="{00000000-0008-0000-0A00-000045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0" name="Picture 69">
          <a:extLst>
            <a:ext uri="{FF2B5EF4-FFF2-40B4-BE49-F238E27FC236}">
              <a16:creationId xmlns:a16="http://schemas.microsoft.com/office/drawing/2014/main" id="{00000000-0008-0000-0A00-000046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1" name="Picture 70">
          <a:extLst>
            <a:ext uri="{FF2B5EF4-FFF2-40B4-BE49-F238E27FC236}">
              <a16:creationId xmlns:a16="http://schemas.microsoft.com/office/drawing/2014/main" id="{00000000-0008-0000-0A00-000047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2" name="Picture 71">
          <a:extLst>
            <a:ext uri="{FF2B5EF4-FFF2-40B4-BE49-F238E27FC236}">
              <a16:creationId xmlns:a16="http://schemas.microsoft.com/office/drawing/2014/main" id="{00000000-0008-0000-0A00-000048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3" name="Picture 72">
          <a:extLst>
            <a:ext uri="{FF2B5EF4-FFF2-40B4-BE49-F238E27FC236}">
              <a16:creationId xmlns:a16="http://schemas.microsoft.com/office/drawing/2014/main" id="{00000000-0008-0000-0A00-000049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4" name="Picture 73">
          <a:extLst>
            <a:ext uri="{FF2B5EF4-FFF2-40B4-BE49-F238E27FC236}">
              <a16:creationId xmlns:a16="http://schemas.microsoft.com/office/drawing/2014/main" id="{00000000-0008-0000-0A00-00004A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5" name="Picture 74">
          <a:extLst>
            <a:ext uri="{FF2B5EF4-FFF2-40B4-BE49-F238E27FC236}">
              <a16:creationId xmlns:a16="http://schemas.microsoft.com/office/drawing/2014/main" id="{00000000-0008-0000-0A00-00004B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6" name="Picture 75">
          <a:extLst>
            <a:ext uri="{FF2B5EF4-FFF2-40B4-BE49-F238E27FC236}">
              <a16:creationId xmlns:a16="http://schemas.microsoft.com/office/drawing/2014/main" id="{00000000-0008-0000-0A00-00004C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7" name="Picture 76">
          <a:extLst>
            <a:ext uri="{FF2B5EF4-FFF2-40B4-BE49-F238E27FC236}">
              <a16:creationId xmlns:a16="http://schemas.microsoft.com/office/drawing/2014/main" id="{00000000-0008-0000-0A00-00004D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8" name="Picture 77">
          <a:extLst>
            <a:ext uri="{FF2B5EF4-FFF2-40B4-BE49-F238E27FC236}">
              <a16:creationId xmlns:a16="http://schemas.microsoft.com/office/drawing/2014/main" id="{00000000-0008-0000-0A00-00004E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9" name="Picture 78">
          <a:extLst>
            <a:ext uri="{FF2B5EF4-FFF2-40B4-BE49-F238E27FC236}">
              <a16:creationId xmlns:a16="http://schemas.microsoft.com/office/drawing/2014/main" id="{00000000-0008-0000-0A00-00004F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0" name="Picture 79">
          <a:extLst>
            <a:ext uri="{FF2B5EF4-FFF2-40B4-BE49-F238E27FC236}">
              <a16:creationId xmlns:a16="http://schemas.microsoft.com/office/drawing/2014/main" id="{00000000-0008-0000-0A00-000050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1" name="Picture 80">
          <a:extLst>
            <a:ext uri="{FF2B5EF4-FFF2-40B4-BE49-F238E27FC236}">
              <a16:creationId xmlns:a16="http://schemas.microsoft.com/office/drawing/2014/main" id="{00000000-0008-0000-0A00-000051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2" name="Picture 81">
          <a:extLst>
            <a:ext uri="{FF2B5EF4-FFF2-40B4-BE49-F238E27FC236}">
              <a16:creationId xmlns:a16="http://schemas.microsoft.com/office/drawing/2014/main" id="{00000000-0008-0000-0A00-000052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3" name="Picture 82">
          <a:extLst>
            <a:ext uri="{FF2B5EF4-FFF2-40B4-BE49-F238E27FC236}">
              <a16:creationId xmlns:a16="http://schemas.microsoft.com/office/drawing/2014/main" id="{00000000-0008-0000-0A00-000053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4" name="Picture 83">
          <a:extLst>
            <a:ext uri="{FF2B5EF4-FFF2-40B4-BE49-F238E27FC236}">
              <a16:creationId xmlns:a16="http://schemas.microsoft.com/office/drawing/2014/main" id="{00000000-0008-0000-0A00-000054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5" name="Picture 84">
          <a:extLst>
            <a:ext uri="{FF2B5EF4-FFF2-40B4-BE49-F238E27FC236}">
              <a16:creationId xmlns:a16="http://schemas.microsoft.com/office/drawing/2014/main" id="{00000000-0008-0000-0A00-000055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6" name="Picture 85">
          <a:extLst>
            <a:ext uri="{FF2B5EF4-FFF2-40B4-BE49-F238E27FC236}">
              <a16:creationId xmlns:a16="http://schemas.microsoft.com/office/drawing/2014/main" id="{00000000-0008-0000-0A00-000056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7" name="Picture 86">
          <a:extLst>
            <a:ext uri="{FF2B5EF4-FFF2-40B4-BE49-F238E27FC236}">
              <a16:creationId xmlns:a16="http://schemas.microsoft.com/office/drawing/2014/main" id="{00000000-0008-0000-0A00-000057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8" name="Picture 87">
          <a:extLst>
            <a:ext uri="{FF2B5EF4-FFF2-40B4-BE49-F238E27FC236}">
              <a16:creationId xmlns:a16="http://schemas.microsoft.com/office/drawing/2014/main" id="{00000000-0008-0000-0A00-000058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9" name="Picture 88">
          <a:extLst>
            <a:ext uri="{FF2B5EF4-FFF2-40B4-BE49-F238E27FC236}">
              <a16:creationId xmlns:a16="http://schemas.microsoft.com/office/drawing/2014/main" id="{00000000-0008-0000-0A00-000059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0" name="Picture 89">
          <a:extLst>
            <a:ext uri="{FF2B5EF4-FFF2-40B4-BE49-F238E27FC236}">
              <a16:creationId xmlns:a16="http://schemas.microsoft.com/office/drawing/2014/main" id="{00000000-0008-0000-0A00-00005A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1" name="Picture 90">
          <a:extLst>
            <a:ext uri="{FF2B5EF4-FFF2-40B4-BE49-F238E27FC236}">
              <a16:creationId xmlns:a16="http://schemas.microsoft.com/office/drawing/2014/main" id="{00000000-0008-0000-0A00-00005B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2" name="Picture 91">
          <a:extLst>
            <a:ext uri="{FF2B5EF4-FFF2-40B4-BE49-F238E27FC236}">
              <a16:creationId xmlns:a16="http://schemas.microsoft.com/office/drawing/2014/main" id="{00000000-0008-0000-0A00-00005C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3" name="Picture 92">
          <a:extLst>
            <a:ext uri="{FF2B5EF4-FFF2-40B4-BE49-F238E27FC236}">
              <a16:creationId xmlns:a16="http://schemas.microsoft.com/office/drawing/2014/main" id="{00000000-0008-0000-0A00-00005D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4" name="Picture 93">
          <a:extLst>
            <a:ext uri="{FF2B5EF4-FFF2-40B4-BE49-F238E27FC236}">
              <a16:creationId xmlns:a16="http://schemas.microsoft.com/office/drawing/2014/main" id="{00000000-0008-0000-0A00-00005E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5" name="Picture 94">
          <a:extLst>
            <a:ext uri="{FF2B5EF4-FFF2-40B4-BE49-F238E27FC236}">
              <a16:creationId xmlns:a16="http://schemas.microsoft.com/office/drawing/2014/main" id="{00000000-0008-0000-0A00-00005F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6" name="Picture 95">
          <a:extLst>
            <a:ext uri="{FF2B5EF4-FFF2-40B4-BE49-F238E27FC236}">
              <a16:creationId xmlns:a16="http://schemas.microsoft.com/office/drawing/2014/main" id="{00000000-0008-0000-0A00-000060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7" name="Picture 96">
          <a:extLst>
            <a:ext uri="{FF2B5EF4-FFF2-40B4-BE49-F238E27FC236}">
              <a16:creationId xmlns:a16="http://schemas.microsoft.com/office/drawing/2014/main" id="{00000000-0008-0000-0A00-000061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8" name="Picture 97">
          <a:extLst>
            <a:ext uri="{FF2B5EF4-FFF2-40B4-BE49-F238E27FC236}">
              <a16:creationId xmlns:a16="http://schemas.microsoft.com/office/drawing/2014/main" id="{00000000-0008-0000-0A00-000062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9" name="Picture 98">
          <a:extLst>
            <a:ext uri="{FF2B5EF4-FFF2-40B4-BE49-F238E27FC236}">
              <a16:creationId xmlns:a16="http://schemas.microsoft.com/office/drawing/2014/main" id="{00000000-0008-0000-0A00-000063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0" name="Picture 99">
          <a:extLst>
            <a:ext uri="{FF2B5EF4-FFF2-40B4-BE49-F238E27FC236}">
              <a16:creationId xmlns:a16="http://schemas.microsoft.com/office/drawing/2014/main" id="{00000000-0008-0000-0A00-000064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1" name="Picture 100">
          <a:extLst>
            <a:ext uri="{FF2B5EF4-FFF2-40B4-BE49-F238E27FC236}">
              <a16:creationId xmlns:a16="http://schemas.microsoft.com/office/drawing/2014/main" id="{00000000-0008-0000-0A00-000065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2" name="Picture 101">
          <a:extLst>
            <a:ext uri="{FF2B5EF4-FFF2-40B4-BE49-F238E27FC236}">
              <a16:creationId xmlns:a16="http://schemas.microsoft.com/office/drawing/2014/main" id="{00000000-0008-0000-0A00-000066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3" name="Picture 102">
          <a:extLst>
            <a:ext uri="{FF2B5EF4-FFF2-40B4-BE49-F238E27FC236}">
              <a16:creationId xmlns:a16="http://schemas.microsoft.com/office/drawing/2014/main" id="{00000000-0008-0000-0A00-000067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4" name="Picture 103">
          <a:extLst>
            <a:ext uri="{FF2B5EF4-FFF2-40B4-BE49-F238E27FC236}">
              <a16:creationId xmlns:a16="http://schemas.microsoft.com/office/drawing/2014/main" id="{00000000-0008-0000-0A00-000068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5" name="Picture 104">
          <a:extLst>
            <a:ext uri="{FF2B5EF4-FFF2-40B4-BE49-F238E27FC236}">
              <a16:creationId xmlns:a16="http://schemas.microsoft.com/office/drawing/2014/main" id="{00000000-0008-0000-0A00-000069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6" name="Picture 105">
          <a:extLst>
            <a:ext uri="{FF2B5EF4-FFF2-40B4-BE49-F238E27FC236}">
              <a16:creationId xmlns:a16="http://schemas.microsoft.com/office/drawing/2014/main" id="{00000000-0008-0000-0A00-00006A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7" name="Picture 106">
          <a:extLst>
            <a:ext uri="{FF2B5EF4-FFF2-40B4-BE49-F238E27FC236}">
              <a16:creationId xmlns:a16="http://schemas.microsoft.com/office/drawing/2014/main" id="{00000000-0008-0000-0A00-00006B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8" name="Picture 107">
          <a:extLst>
            <a:ext uri="{FF2B5EF4-FFF2-40B4-BE49-F238E27FC236}">
              <a16:creationId xmlns:a16="http://schemas.microsoft.com/office/drawing/2014/main" id="{00000000-0008-0000-0A00-00006C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9" name="Picture 108">
          <a:extLst>
            <a:ext uri="{FF2B5EF4-FFF2-40B4-BE49-F238E27FC236}">
              <a16:creationId xmlns:a16="http://schemas.microsoft.com/office/drawing/2014/main" id="{00000000-0008-0000-0A00-00006D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0" name="Picture 109">
          <a:extLst>
            <a:ext uri="{FF2B5EF4-FFF2-40B4-BE49-F238E27FC236}">
              <a16:creationId xmlns:a16="http://schemas.microsoft.com/office/drawing/2014/main" id="{00000000-0008-0000-0A00-00006E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1" name="Picture 110">
          <a:extLst>
            <a:ext uri="{FF2B5EF4-FFF2-40B4-BE49-F238E27FC236}">
              <a16:creationId xmlns:a16="http://schemas.microsoft.com/office/drawing/2014/main" id="{00000000-0008-0000-0A00-00006F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2" name="Picture 111">
          <a:extLst>
            <a:ext uri="{FF2B5EF4-FFF2-40B4-BE49-F238E27FC236}">
              <a16:creationId xmlns:a16="http://schemas.microsoft.com/office/drawing/2014/main" id="{00000000-0008-0000-0A00-000070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3" name="Picture 112">
          <a:extLst>
            <a:ext uri="{FF2B5EF4-FFF2-40B4-BE49-F238E27FC236}">
              <a16:creationId xmlns:a16="http://schemas.microsoft.com/office/drawing/2014/main" id="{00000000-0008-0000-0A00-000071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4" name="Picture 113">
          <a:extLst>
            <a:ext uri="{FF2B5EF4-FFF2-40B4-BE49-F238E27FC236}">
              <a16:creationId xmlns:a16="http://schemas.microsoft.com/office/drawing/2014/main" id="{00000000-0008-0000-0A00-000072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5" name="Picture 114">
          <a:extLst>
            <a:ext uri="{FF2B5EF4-FFF2-40B4-BE49-F238E27FC236}">
              <a16:creationId xmlns:a16="http://schemas.microsoft.com/office/drawing/2014/main" id="{00000000-0008-0000-0A00-000073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6" name="Picture 115">
          <a:extLst>
            <a:ext uri="{FF2B5EF4-FFF2-40B4-BE49-F238E27FC236}">
              <a16:creationId xmlns:a16="http://schemas.microsoft.com/office/drawing/2014/main" id="{00000000-0008-0000-0A00-000074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7" name="Picture 116">
          <a:extLst>
            <a:ext uri="{FF2B5EF4-FFF2-40B4-BE49-F238E27FC236}">
              <a16:creationId xmlns:a16="http://schemas.microsoft.com/office/drawing/2014/main" id="{00000000-0008-0000-0A00-000075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18" name="Picture 117">
          <a:extLst>
            <a:ext uri="{FF2B5EF4-FFF2-40B4-BE49-F238E27FC236}">
              <a16:creationId xmlns:a16="http://schemas.microsoft.com/office/drawing/2014/main" id="{7E7187B4-835A-4B76-A9FF-796641BF0E56}"/>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19" name="Picture 118">
          <a:extLst>
            <a:ext uri="{FF2B5EF4-FFF2-40B4-BE49-F238E27FC236}">
              <a16:creationId xmlns:a16="http://schemas.microsoft.com/office/drawing/2014/main" id="{767334F8-14E2-44CE-8945-7ECB522CB0E2}"/>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0" name="Picture 119">
          <a:extLst>
            <a:ext uri="{FF2B5EF4-FFF2-40B4-BE49-F238E27FC236}">
              <a16:creationId xmlns:a16="http://schemas.microsoft.com/office/drawing/2014/main" id="{6F8AFE95-3603-4ED2-9B83-A05232E74E8C}"/>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1" name="Picture 120">
          <a:extLst>
            <a:ext uri="{FF2B5EF4-FFF2-40B4-BE49-F238E27FC236}">
              <a16:creationId xmlns:a16="http://schemas.microsoft.com/office/drawing/2014/main" id="{306B705D-9C8A-48BC-B2AD-D3154BBC9CD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2" name="Picture 121">
          <a:extLst>
            <a:ext uri="{FF2B5EF4-FFF2-40B4-BE49-F238E27FC236}">
              <a16:creationId xmlns:a16="http://schemas.microsoft.com/office/drawing/2014/main" id="{AD804503-B943-46A0-98B8-9362C928AD2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3" name="Picture 122">
          <a:extLst>
            <a:ext uri="{FF2B5EF4-FFF2-40B4-BE49-F238E27FC236}">
              <a16:creationId xmlns:a16="http://schemas.microsoft.com/office/drawing/2014/main" id="{586C7BE8-1917-4A26-9550-FD5792A02A43}"/>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4" name="Picture 123">
          <a:extLst>
            <a:ext uri="{FF2B5EF4-FFF2-40B4-BE49-F238E27FC236}">
              <a16:creationId xmlns:a16="http://schemas.microsoft.com/office/drawing/2014/main" id="{F4FE7E37-B526-4BB9-B074-A5988A1C46B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5" name="Picture 124">
          <a:extLst>
            <a:ext uri="{FF2B5EF4-FFF2-40B4-BE49-F238E27FC236}">
              <a16:creationId xmlns:a16="http://schemas.microsoft.com/office/drawing/2014/main" id="{3167C326-2BFD-41B4-AA3B-05D887CC0F7D}"/>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6" name="Picture 125">
          <a:extLst>
            <a:ext uri="{FF2B5EF4-FFF2-40B4-BE49-F238E27FC236}">
              <a16:creationId xmlns:a16="http://schemas.microsoft.com/office/drawing/2014/main" id="{D46B01F1-12CA-4D56-A1D9-F167B06372D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7" name="Picture 126">
          <a:extLst>
            <a:ext uri="{FF2B5EF4-FFF2-40B4-BE49-F238E27FC236}">
              <a16:creationId xmlns:a16="http://schemas.microsoft.com/office/drawing/2014/main" id="{13224E3E-4A9A-418A-A128-71A3E6CC9CB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8" name="Picture 7">
          <a:extLst>
            <a:ext uri="{FF2B5EF4-FFF2-40B4-BE49-F238E27FC236}">
              <a16:creationId xmlns:a16="http://schemas.microsoft.com/office/drawing/2014/main" id="{196BE08D-C90C-435B-B12F-F88C8D69AB83}"/>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8" name="Picture 127">
          <a:extLst>
            <a:ext uri="{FF2B5EF4-FFF2-40B4-BE49-F238E27FC236}">
              <a16:creationId xmlns:a16="http://schemas.microsoft.com/office/drawing/2014/main" id="{86BDE1F4-87B8-4388-BA97-F6A4315066B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9" name="Picture 128">
          <a:extLst>
            <a:ext uri="{FF2B5EF4-FFF2-40B4-BE49-F238E27FC236}">
              <a16:creationId xmlns:a16="http://schemas.microsoft.com/office/drawing/2014/main" id="{A0A5EEBB-BEB6-4ACE-9869-F7878C61C3E5}"/>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0" name="Picture 129">
          <a:extLst>
            <a:ext uri="{FF2B5EF4-FFF2-40B4-BE49-F238E27FC236}">
              <a16:creationId xmlns:a16="http://schemas.microsoft.com/office/drawing/2014/main" id="{5F51667C-3AE7-4598-9974-9363C9A2113D}"/>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1" name="Picture 130">
          <a:extLst>
            <a:ext uri="{FF2B5EF4-FFF2-40B4-BE49-F238E27FC236}">
              <a16:creationId xmlns:a16="http://schemas.microsoft.com/office/drawing/2014/main" id="{7BEC0B66-5B69-4C1A-8991-ACA41720F827}"/>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2" name="Picture 131">
          <a:extLst>
            <a:ext uri="{FF2B5EF4-FFF2-40B4-BE49-F238E27FC236}">
              <a16:creationId xmlns:a16="http://schemas.microsoft.com/office/drawing/2014/main" id="{CD621E6F-4878-4638-8FE9-7D3FA6C6FFF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3" name="Picture 132">
          <a:extLst>
            <a:ext uri="{FF2B5EF4-FFF2-40B4-BE49-F238E27FC236}">
              <a16:creationId xmlns:a16="http://schemas.microsoft.com/office/drawing/2014/main" id="{5D0D74A8-C38F-43B8-9BD4-F48A6CD26E3F}"/>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4" name="Picture 133">
          <a:extLst>
            <a:ext uri="{FF2B5EF4-FFF2-40B4-BE49-F238E27FC236}">
              <a16:creationId xmlns:a16="http://schemas.microsoft.com/office/drawing/2014/main" id="{1FA2FF99-2B08-4CC3-AFA9-6718E977F59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5" name="Picture 134">
          <a:extLst>
            <a:ext uri="{FF2B5EF4-FFF2-40B4-BE49-F238E27FC236}">
              <a16:creationId xmlns:a16="http://schemas.microsoft.com/office/drawing/2014/main" id="{AE570AD6-4642-454C-A68F-DCE6A5B3ECE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6" name="Picture 135">
          <a:extLst>
            <a:ext uri="{FF2B5EF4-FFF2-40B4-BE49-F238E27FC236}">
              <a16:creationId xmlns:a16="http://schemas.microsoft.com/office/drawing/2014/main" id="{884E0103-3B5C-4C98-94FA-63F18BB91FF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7" name="Picture 136">
          <a:extLst>
            <a:ext uri="{FF2B5EF4-FFF2-40B4-BE49-F238E27FC236}">
              <a16:creationId xmlns:a16="http://schemas.microsoft.com/office/drawing/2014/main" id="{2683B574-727B-47A7-8A94-6AF0DD657320}"/>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8" name="Picture 137">
          <a:extLst>
            <a:ext uri="{FF2B5EF4-FFF2-40B4-BE49-F238E27FC236}">
              <a16:creationId xmlns:a16="http://schemas.microsoft.com/office/drawing/2014/main" id="{E816FF08-1DD4-489F-B762-474AE8580141}"/>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9" name="Picture 138">
          <a:extLst>
            <a:ext uri="{FF2B5EF4-FFF2-40B4-BE49-F238E27FC236}">
              <a16:creationId xmlns:a16="http://schemas.microsoft.com/office/drawing/2014/main" id="{DF148BE8-D3DC-4A33-8B7F-CA36BC8F1D5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0" name="Picture 139">
          <a:extLst>
            <a:ext uri="{FF2B5EF4-FFF2-40B4-BE49-F238E27FC236}">
              <a16:creationId xmlns:a16="http://schemas.microsoft.com/office/drawing/2014/main" id="{60A9FE27-2341-41C6-94DD-C881921A49D1}"/>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1" name="Picture 140">
          <a:extLst>
            <a:ext uri="{FF2B5EF4-FFF2-40B4-BE49-F238E27FC236}">
              <a16:creationId xmlns:a16="http://schemas.microsoft.com/office/drawing/2014/main" id="{29AF7EB0-6075-4603-BE4F-830EF1173691}"/>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3" name="Picture 142">
          <a:extLst>
            <a:ext uri="{FF2B5EF4-FFF2-40B4-BE49-F238E27FC236}">
              <a16:creationId xmlns:a16="http://schemas.microsoft.com/office/drawing/2014/main" id="{E8586773-C4C5-4A7F-98BB-1B05D87A07E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2" name="Picture 141">
          <a:extLst>
            <a:ext uri="{FF2B5EF4-FFF2-40B4-BE49-F238E27FC236}">
              <a16:creationId xmlns:a16="http://schemas.microsoft.com/office/drawing/2014/main" id="{5DC812A7-317D-480F-B9EB-CA0C17A659D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4" name="Picture 143">
          <a:extLst>
            <a:ext uri="{FF2B5EF4-FFF2-40B4-BE49-F238E27FC236}">
              <a16:creationId xmlns:a16="http://schemas.microsoft.com/office/drawing/2014/main" id="{3088C981-CD3F-495B-9B5D-632B9AE62140}"/>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5" name="Picture 144">
          <a:extLst>
            <a:ext uri="{FF2B5EF4-FFF2-40B4-BE49-F238E27FC236}">
              <a16:creationId xmlns:a16="http://schemas.microsoft.com/office/drawing/2014/main" id="{8ED960F2-36BB-4CDF-A4CA-8E1256E60A73}"/>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6" name="Picture 145">
          <a:extLst>
            <a:ext uri="{FF2B5EF4-FFF2-40B4-BE49-F238E27FC236}">
              <a16:creationId xmlns:a16="http://schemas.microsoft.com/office/drawing/2014/main" id="{EE26E491-9055-40F0-BAF5-40C08C60FBFC}"/>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7" name="Picture 146">
          <a:extLst>
            <a:ext uri="{FF2B5EF4-FFF2-40B4-BE49-F238E27FC236}">
              <a16:creationId xmlns:a16="http://schemas.microsoft.com/office/drawing/2014/main" id="{1026DB33-3891-41A7-A206-B27320BB250C}"/>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8" name="Picture 147">
          <a:extLst>
            <a:ext uri="{FF2B5EF4-FFF2-40B4-BE49-F238E27FC236}">
              <a16:creationId xmlns:a16="http://schemas.microsoft.com/office/drawing/2014/main" id="{F49D2E36-6DA9-4397-8A0C-30DC68BE4E1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9" name="Picture 148">
          <a:extLst>
            <a:ext uri="{FF2B5EF4-FFF2-40B4-BE49-F238E27FC236}">
              <a16:creationId xmlns:a16="http://schemas.microsoft.com/office/drawing/2014/main" id="{F3CE84B7-21AD-48BF-9D17-E1EB21345702}"/>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0" name="Picture 149">
          <a:extLst>
            <a:ext uri="{FF2B5EF4-FFF2-40B4-BE49-F238E27FC236}">
              <a16:creationId xmlns:a16="http://schemas.microsoft.com/office/drawing/2014/main" id="{1283015A-A067-49E8-8ADC-BFF1A2A0C15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1" name="Picture 150">
          <a:extLst>
            <a:ext uri="{FF2B5EF4-FFF2-40B4-BE49-F238E27FC236}">
              <a16:creationId xmlns:a16="http://schemas.microsoft.com/office/drawing/2014/main" id="{6DE0D474-FD7E-41C1-BA89-30D31561E6D0}"/>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2" name="Picture 151">
          <a:extLst>
            <a:ext uri="{FF2B5EF4-FFF2-40B4-BE49-F238E27FC236}">
              <a16:creationId xmlns:a16="http://schemas.microsoft.com/office/drawing/2014/main" id="{FA952532-3958-49B7-A745-8C895A46311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3" name="Picture 152">
          <a:extLst>
            <a:ext uri="{FF2B5EF4-FFF2-40B4-BE49-F238E27FC236}">
              <a16:creationId xmlns:a16="http://schemas.microsoft.com/office/drawing/2014/main" id="{681FC504-0366-44C6-BFC8-F5290F695F4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4" name="Picture 153">
          <a:extLst>
            <a:ext uri="{FF2B5EF4-FFF2-40B4-BE49-F238E27FC236}">
              <a16:creationId xmlns:a16="http://schemas.microsoft.com/office/drawing/2014/main" id="{7E95A091-1D11-4377-8FFA-6E91A5544C8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5" name="Picture 154">
          <a:extLst>
            <a:ext uri="{FF2B5EF4-FFF2-40B4-BE49-F238E27FC236}">
              <a16:creationId xmlns:a16="http://schemas.microsoft.com/office/drawing/2014/main" id="{0EC003D6-EAC1-41F2-B4A9-73063838FE2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6" name="Picture 155">
          <a:extLst>
            <a:ext uri="{FF2B5EF4-FFF2-40B4-BE49-F238E27FC236}">
              <a16:creationId xmlns:a16="http://schemas.microsoft.com/office/drawing/2014/main" id="{F87B2C75-2BC3-45AD-BA87-3EF247FF8051}"/>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7" name="Picture 156">
          <a:extLst>
            <a:ext uri="{FF2B5EF4-FFF2-40B4-BE49-F238E27FC236}">
              <a16:creationId xmlns:a16="http://schemas.microsoft.com/office/drawing/2014/main" id="{B9120846-7B7F-4FD8-8EDB-A3101BF8D601}"/>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8" name="Picture 157">
          <a:extLst>
            <a:ext uri="{FF2B5EF4-FFF2-40B4-BE49-F238E27FC236}">
              <a16:creationId xmlns:a16="http://schemas.microsoft.com/office/drawing/2014/main" id="{5F7EB56A-B5EA-49F4-ABE3-9F4B90CB921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9" name="Picture 158">
          <a:extLst>
            <a:ext uri="{FF2B5EF4-FFF2-40B4-BE49-F238E27FC236}">
              <a16:creationId xmlns:a16="http://schemas.microsoft.com/office/drawing/2014/main" id="{6B6F2050-9CCD-465B-A358-54F50623E0B9}"/>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0" name="Picture 159">
          <a:extLst>
            <a:ext uri="{FF2B5EF4-FFF2-40B4-BE49-F238E27FC236}">
              <a16:creationId xmlns:a16="http://schemas.microsoft.com/office/drawing/2014/main" id="{B909D808-5F95-47D7-90AF-5B7B47B38F37}"/>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1" name="Picture 160">
          <a:extLst>
            <a:ext uri="{FF2B5EF4-FFF2-40B4-BE49-F238E27FC236}">
              <a16:creationId xmlns:a16="http://schemas.microsoft.com/office/drawing/2014/main" id="{8D7792FD-863B-4339-A55C-A2CC80759E72}"/>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2" name="Picture 161">
          <a:extLst>
            <a:ext uri="{FF2B5EF4-FFF2-40B4-BE49-F238E27FC236}">
              <a16:creationId xmlns:a16="http://schemas.microsoft.com/office/drawing/2014/main" id="{900C112B-3C81-4BF0-ACF6-64A679BCE05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3" name="Picture 162">
          <a:extLst>
            <a:ext uri="{FF2B5EF4-FFF2-40B4-BE49-F238E27FC236}">
              <a16:creationId xmlns:a16="http://schemas.microsoft.com/office/drawing/2014/main" id="{C82F578D-777C-4BD4-AA7D-F358F0F9CD6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4" name="Picture 163">
          <a:extLst>
            <a:ext uri="{FF2B5EF4-FFF2-40B4-BE49-F238E27FC236}">
              <a16:creationId xmlns:a16="http://schemas.microsoft.com/office/drawing/2014/main" id="{7EC4C4FF-7148-4507-895D-6861DBE5AF37}"/>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5" name="Picture 164">
          <a:extLst>
            <a:ext uri="{FF2B5EF4-FFF2-40B4-BE49-F238E27FC236}">
              <a16:creationId xmlns:a16="http://schemas.microsoft.com/office/drawing/2014/main" id="{5214B77E-1684-4FD6-9363-4333E0D6E7E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6" name="Picture 165">
          <a:extLst>
            <a:ext uri="{FF2B5EF4-FFF2-40B4-BE49-F238E27FC236}">
              <a16:creationId xmlns:a16="http://schemas.microsoft.com/office/drawing/2014/main" id="{AB0F7A3C-B17B-42F0-AD17-19751D1C261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7" name="Picture 166">
          <a:extLst>
            <a:ext uri="{FF2B5EF4-FFF2-40B4-BE49-F238E27FC236}">
              <a16:creationId xmlns:a16="http://schemas.microsoft.com/office/drawing/2014/main" id="{742A369E-B1C1-4FC5-B921-6D2BB18F7C00}"/>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8" name="Picture 167">
          <a:extLst>
            <a:ext uri="{FF2B5EF4-FFF2-40B4-BE49-F238E27FC236}">
              <a16:creationId xmlns:a16="http://schemas.microsoft.com/office/drawing/2014/main" id="{1FF8204A-45AA-404F-8D65-FC67FEDB5F25}"/>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9" name="Picture 168">
          <a:extLst>
            <a:ext uri="{FF2B5EF4-FFF2-40B4-BE49-F238E27FC236}">
              <a16:creationId xmlns:a16="http://schemas.microsoft.com/office/drawing/2014/main" id="{7D812955-05EF-4965-B90D-9F09B3F97F20}"/>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70" name="Picture 169">
          <a:extLst>
            <a:ext uri="{FF2B5EF4-FFF2-40B4-BE49-F238E27FC236}">
              <a16:creationId xmlns:a16="http://schemas.microsoft.com/office/drawing/2014/main" id="{B19B262B-6515-4A53-94E2-44A0043A65E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1695690</xdr:colOff>
      <xdr:row>20</xdr:row>
      <xdr:rowOff>116891</xdr:rowOff>
    </xdr:from>
    <xdr:to>
      <xdr:col>13</xdr:col>
      <xdr:colOff>725715</xdr:colOff>
      <xdr:row>61</xdr:row>
      <xdr:rowOff>179161</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825500</xdr:colOff>
      <xdr:row>24</xdr:row>
      <xdr:rowOff>0</xdr:rowOff>
    </xdr:from>
    <xdr:to>
      <xdr:col>3</xdr:col>
      <xdr:colOff>266700</xdr:colOff>
      <xdr:row>61</xdr:row>
      <xdr:rowOff>104775</xdr:rowOff>
    </xdr:to>
    <xdr:pic>
      <xdr:nvPicPr>
        <xdr:cNvPr id="4" name="Picture 3">
          <a:extLst>
            <a:ext uri="{FF2B5EF4-FFF2-40B4-BE49-F238E27FC236}">
              <a16:creationId xmlns:a16="http://schemas.microsoft.com/office/drawing/2014/main" id="{1B5D03EA-EDA0-14E2-EFB7-38B556E3B9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6375" y="12160250"/>
          <a:ext cx="2679700" cy="9725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c:userShapes xmlns:c="http://schemas.openxmlformats.org/drawingml/2006/chart">
  <cdr:relSizeAnchor xmlns:cdr="http://schemas.openxmlformats.org/drawingml/2006/chartDrawing">
    <cdr:from>
      <cdr:x>0.66209</cdr:x>
      <cdr:y>0</cdr:y>
    </cdr:from>
    <cdr:to>
      <cdr:x>0.99632</cdr:x>
      <cdr:y>0.08022</cdr:y>
    </cdr:to>
    <cdr:sp macro="" textlink="">
      <cdr:nvSpPr>
        <cdr:cNvPr id="13" name="TextBox 12"/>
        <cdr:cNvSpPr txBox="1"/>
      </cdr:nvSpPr>
      <cdr:spPr>
        <a:xfrm xmlns:a="http://schemas.openxmlformats.org/drawingml/2006/main">
          <a:off x="11413476" y="0"/>
          <a:ext cx="5761674" cy="85823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lv-LV" sz="1800" b="1">
              <a:solidFill>
                <a:srgbClr val="002060"/>
              </a:solidFill>
              <a:latin typeface="Verdana" panose="020B0604030504040204" pitchFamily="34" charset="0"/>
              <a:ea typeface="Verdana" panose="020B0604030504040204" pitchFamily="34" charset="0"/>
            </a:rPr>
            <a:t>Fondu</a:t>
          </a:r>
          <a:r>
            <a:rPr lang="lv-LV" sz="1800" b="1" baseline="0">
              <a:solidFill>
                <a:srgbClr val="002060"/>
              </a:solidFill>
              <a:latin typeface="Verdana" panose="020B0604030504040204" pitchFamily="34" charset="0"/>
              <a:ea typeface="Verdana" panose="020B0604030504040204" pitchFamily="34" charset="0"/>
            </a:rPr>
            <a:t> </a:t>
          </a:r>
          <a:r>
            <a:rPr lang="lv-LV" sz="1800" b="1">
              <a:solidFill>
                <a:srgbClr val="002060"/>
              </a:solidFill>
              <a:latin typeface="Verdana" panose="020B0604030504040204" pitchFamily="34" charset="0"/>
              <a:ea typeface="Verdana" panose="020B0604030504040204" pitchFamily="34" charset="0"/>
            </a:rPr>
            <a:t>piešķīrums*         </a:t>
          </a:r>
          <a:r>
            <a:rPr lang="lv-LV" sz="1800" b="1">
              <a:solidFill>
                <a:srgbClr val="C00000"/>
              </a:solidFill>
              <a:latin typeface="Verdana" panose="020B0604030504040204" pitchFamily="34" charset="0"/>
              <a:ea typeface="Verdana" panose="020B0604030504040204" pitchFamily="34" charset="0"/>
            </a:rPr>
            <a:t>Virssaistības*   </a:t>
          </a:r>
        </a:p>
        <a:p xmlns:a="http://schemas.openxmlformats.org/drawingml/2006/main">
          <a:pPr algn="r"/>
          <a:r>
            <a:rPr lang="lv-LV" sz="1800" b="1">
              <a:solidFill>
                <a:srgbClr val="002060"/>
              </a:solidFill>
              <a:latin typeface="Verdana" panose="020B0604030504040204" pitchFamily="34" charset="0"/>
              <a:ea typeface="Verdana" panose="020B0604030504040204" pitchFamily="34" charset="0"/>
            </a:rPr>
            <a:t>(milj. </a:t>
          </a:r>
          <a:r>
            <a:rPr lang="lv-LV" sz="1800" b="1">
              <a:solidFill>
                <a:srgbClr val="002060"/>
              </a:solidFill>
              <a:latin typeface="Verdana" panose="020B0604030504040204" pitchFamily="34" charset="0"/>
              <a:ea typeface="Verdana" panose="020B0604030504040204" pitchFamily="34" charset="0"/>
              <a:cs typeface="Times New Roman" panose="02020603050405020304" pitchFamily="18" charset="0"/>
            </a:rPr>
            <a:t>€)</a:t>
          </a:r>
          <a:r>
            <a:rPr lang="lv-LV" sz="1800" b="1">
              <a:solidFill>
                <a:srgbClr val="FF0000"/>
              </a:solidFill>
              <a:latin typeface="Verdana" panose="020B0604030504040204" pitchFamily="34" charset="0"/>
              <a:ea typeface="Verdana" panose="020B0604030504040204" pitchFamily="34" charset="0"/>
              <a:cs typeface="Times New Roman" panose="02020603050405020304" pitchFamily="18" charset="0"/>
            </a:rPr>
            <a:t> </a:t>
          </a:r>
          <a:r>
            <a:rPr lang="lv-LV" sz="1800" b="1">
              <a:solidFill>
                <a:srgbClr val="C00000"/>
              </a:solidFill>
              <a:latin typeface="Verdana" panose="020B0604030504040204" pitchFamily="34" charset="0"/>
              <a:ea typeface="Verdana" panose="020B0604030504040204" pitchFamily="34" charset="0"/>
              <a:cs typeface="Times New Roman" panose="02020603050405020304" pitchFamily="18" charset="0"/>
            </a:rPr>
            <a:t>(ES fondi indikatīvi</a:t>
          </a:r>
        </a:p>
        <a:p xmlns:a="http://schemas.openxmlformats.org/drawingml/2006/main">
          <a:pPr algn="r"/>
          <a:r>
            <a:rPr lang="lv-LV" sz="1800" b="1" baseline="0">
              <a:solidFill>
                <a:srgbClr val="C00000"/>
              </a:solidFill>
              <a:latin typeface="Verdana" panose="020B0604030504040204" pitchFamily="34" charset="0"/>
              <a:ea typeface="Verdana" panose="020B0604030504040204" pitchFamily="34" charset="0"/>
              <a:cs typeface="Times New Roman" panose="02020603050405020304" pitchFamily="18" charset="0"/>
            </a:rPr>
            <a:t>224 milj. €</a:t>
          </a:r>
          <a:r>
            <a:rPr lang="lv-LV" sz="1800" b="1">
              <a:solidFill>
                <a:srgbClr val="C00000"/>
              </a:solidFill>
              <a:latin typeface="Verdana" panose="020B0604030504040204" pitchFamily="34" charset="0"/>
              <a:ea typeface="Verdana" panose="020B0604030504040204" pitchFamily="34" charset="0"/>
              <a:cs typeface="Times New Roman" panose="02020603050405020304" pitchFamily="18" charset="0"/>
            </a:rPr>
            <a:t>)</a:t>
          </a:r>
          <a:endParaRPr lang="lv-LV" sz="1800" b="1">
            <a:solidFill>
              <a:srgbClr val="002060"/>
            </a:solidFill>
            <a:latin typeface="Verdana" panose="020B0604030504040204" pitchFamily="34" charset="0"/>
            <a:ea typeface="Verdana" panose="020B0604030504040204" pitchFamily="34" charset="0"/>
            <a:cs typeface="Times New Roman" panose="02020603050405020304" pitchFamily="18" charset="0"/>
          </a:endParaRPr>
        </a:p>
      </cdr:txBody>
    </cdr:sp>
  </cdr:relSizeAnchor>
  <cdr:relSizeAnchor xmlns:cdr="http://schemas.openxmlformats.org/drawingml/2006/chartDrawing">
    <cdr:from>
      <cdr:x>0.73847</cdr:x>
      <cdr:y>0.08359</cdr:y>
    </cdr:from>
    <cdr:to>
      <cdr:x>0.82018</cdr:x>
      <cdr:y>0.94547</cdr:y>
    </cdr:to>
    <cdr:grpSp>
      <cdr:nvGrpSpPr>
        <cdr:cNvPr id="2" name="Group 1">
          <a:extLst xmlns:a="http://schemas.openxmlformats.org/drawingml/2006/main">
            <a:ext uri="{FF2B5EF4-FFF2-40B4-BE49-F238E27FC236}">
              <a16:creationId xmlns:a16="http://schemas.microsoft.com/office/drawing/2014/main" id="{8EE125FC-35CB-4B0C-87DC-F0E3C57A7226}"/>
            </a:ext>
          </a:extLst>
        </cdr:cNvPr>
        <cdr:cNvGrpSpPr/>
      </cdr:nvGrpSpPr>
      <cdr:grpSpPr>
        <a:xfrm xmlns:a="http://schemas.openxmlformats.org/drawingml/2006/main">
          <a:off x="12718503" y="891635"/>
          <a:ext cx="1407273" cy="9193476"/>
          <a:chOff x="7434746" y="723638"/>
          <a:chExt cx="947880" cy="7209041"/>
        </a:xfrm>
      </cdr:grpSpPr>
      <cdr:sp macro="" textlink="">
        <cdr:nvSpPr>
          <cdr:cNvPr id="3" name="TextBox 2"/>
          <cdr:cNvSpPr txBox="1"/>
        </cdr:nvSpPr>
        <cdr:spPr>
          <a:xfrm xmlns:a="http://schemas.openxmlformats.org/drawingml/2006/main">
            <a:off x="7434746" y="723638"/>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1 216</a:t>
            </a:r>
          </a:p>
        </cdr:txBody>
      </cdr:sp>
      <cdr:sp macro="" textlink="">
        <cdr:nvSpPr>
          <cdr:cNvPr id="4" name="TextBox 2"/>
          <cdr:cNvSpPr txBox="1"/>
        </cdr:nvSpPr>
        <cdr:spPr>
          <a:xfrm xmlns:a="http://schemas.openxmlformats.org/drawingml/2006/main">
            <a:off x="7490327" y="1418933"/>
            <a:ext cx="850301" cy="307141"/>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841</a:t>
            </a:r>
            <a:endParaRPr lang="lv-LV" sz="2400" b="1">
              <a:solidFill>
                <a:schemeClr val="accent3">
                  <a:lumMod val="75000"/>
                </a:schemeClr>
              </a:solidFill>
            </a:endParaRPr>
          </a:p>
        </cdr:txBody>
      </cdr:sp>
      <cdr:sp macro="" textlink="">
        <cdr:nvSpPr>
          <cdr:cNvPr id="5" name="TextBox 2"/>
          <cdr:cNvSpPr txBox="1"/>
        </cdr:nvSpPr>
        <cdr:spPr>
          <a:xfrm xmlns:a="http://schemas.openxmlformats.org/drawingml/2006/main">
            <a:off x="7520765" y="2104190"/>
            <a:ext cx="850301" cy="30714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835</a:t>
            </a:r>
            <a:r>
              <a:rPr lang="lv-LV" sz="2400" b="1" baseline="0">
                <a:solidFill>
                  <a:schemeClr val="accent5">
                    <a:lumMod val="50000"/>
                  </a:schemeClr>
                </a:solidFill>
              </a:rPr>
              <a:t> </a:t>
            </a:r>
            <a:endParaRPr lang="lv-LV" sz="2400" b="1">
              <a:solidFill>
                <a:schemeClr val="accent3">
                  <a:lumMod val="75000"/>
                </a:schemeClr>
              </a:solidFill>
            </a:endParaRPr>
          </a:p>
        </cdr:txBody>
      </cdr:sp>
      <cdr:sp macro="" textlink="">
        <cdr:nvSpPr>
          <cdr:cNvPr id="6" name="TextBox 2"/>
          <cdr:cNvSpPr txBox="1"/>
        </cdr:nvSpPr>
        <cdr:spPr>
          <a:xfrm xmlns:a="http://schemas.openxmlformats.org/drawingml/2006/main">
            <a:off x="7508346" y="2783275"/>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746</a:t>
            </a:r>
            <a:r>
              <a:rPr lang="lv-LV" sz="2400" b="1" baseline="0">
                <a:solidFill>
                  <a:schemeClr val="accent5">
                    <a:lumMod val="50000"/>
                  </a:schemeClr>
                </a:solidFill>
              </a:rPr>
              <a:t> </a:t>
            </a:r>
            <a:endParaRPr lang="lv-LV" sz="2400" b="1">
              <a:solidFill>
                <a:schemeClr val="accent3">
                  <a:lumMod val="75000"/>
                </a:schemeClr>
              </a:solidFill>
            </a:endParaRPr>
          </a:p>
        </cdr:txBody>
      </cdr:sp>
      <cdr:sp macro="" textlink="">
        <cdr:nvSpPr>
          <cdr:cNvPr id="7" name="TextBox 2"/>
          <cdr:cNvSpPr txBox="1"/>
        </cdr:nvSpPr>
        <cdr:spPr>
          <a:xfrm xmlns:a="http://schemas.openxmlformats.org/drawingml/2006/main">
            <a:off x="7492654" y="3501634"/>
            <a:ext cx="850185"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393</a:t>
            </a:r>
            <a:endParaRPr lang="lv-LV" sz="2400" b="1">
              <a:solidFill>
                <a:schemeClr val="accent3">
                  <a:lumMod val="75000"/>
                </a:schemeClr>
              </a:solidFill>
            </a:endParaRPr>
          </a:p>
        </cdr:txBody>
      </cdr:sp>
      <cdr:sp macro="" textlink="">
        <cdr:nvSpPr>
          <cdr:cNvPr id="8" name="TextBox 2"/>
          <cdr:cNvSpPr txBox="1"/>
        </cdr:nvSpPr>
        <cdr:spPr>
          <a:xfrm xmlns:a="http://schemas.openxmlformats.org/drawingml/2006/main">
            <a:off x="7532325" y="4868385"/>
            <a:ext cx="850301" cy="307141"/>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136</a:t>
            </a:r>
            <a:endParaRPr lang="lv-LV" sz="2400" b="1">
              <a:solidFill>
                <a:schemeClr val="accent3">
                  <a:lumMod val="75000"/>
                </a:schemeClr>
              </a:solidFill>
            </a:endParaRPr>
          </a:p>
        </cdr:txBody>
      </cdr:sp>
      <cdr:sp macro="" textlink="">
        <cdr:nvSpPr>
          <cdr:cNvPr id="9" name="TextBox 2"/>
          <cdr:cNvSpPr txBox="1"/>
        </cdr:nvSpPr>
        <cdr:spPr>
          <a:xfrm xmlns:a="http://schemas.openxmlformats.org/drawingml/2006/main">
            <a:off x="7494025" y="4160027"/>
            <a:ext cx="850185" cy="30714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346</a:t>
            </a:r>
            <a:endParaRPr lang="lv-LV" sz="2400" b="1">
              <a:solidFill>
                <a:schemeClr val="accent3">
                  <a:lumMod val="75000"/>
                </a:schemeClr>
              </a:solidFill>
            </a:endParaRPr>
          </a:p>
        </cdr:txBody>
      </cdr:sp>
      <cdr:sp macro="" textlink="">
        <cdr:nvSpPr>
          <cdr:cNvPr id="10" name="TextBox 2"/>
          <cdr:cNvSpPr txBox="1"/>
        </cdr:nvSpPr>
        <cdr:spPr>
          <a:xfrm xmlns:a="http://schemas.openxmlformats.org/drawingml/2006/main">
            <a:off x="7523748" y="5580974"/>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101</a:t>
            </a:r>
          </a:p>
        </cdr:txBody>
      </cdr:sp>
      <cdr:sp macro="" textlink="">
        <cdr:nvSpPr>
          <cdr:cNvPr id="11" name="TextBox 2"/>
          <cdr:cNvSpPr txBox="1"/>
        </cdr:nvSpPr>
        <cdr:spPr>
          <a:xfrm xmlns:a="http://schemas.openxmlformats.org/drawingml/2006/main">
            <a:off x="7522709" y="6247198"/>
            <a:ext cx="850185" cy="307056"/>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0</a:t>
            </a:r>
          </a:p>
        </cdr:txBody>
      </cdr:sp>
      <cdr:sp macro="" textlink="">
        <cdr:nvSpPr>
          <cdr:cNvPr id="12" name="TextBox 2"/>
          <cdr:cNvSpPr txBox="1"/>
        </cdr:nvSpPr>
        <cdr:spPr>
          <a:xfrm xmlns:a="http://schemas.openxmlformats.org/drawingml/2006/main">
            <a:off x="7521896" y="6897445"/>
            <a:ext cx="850301" cy="307056"/>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17</a:t>
            </a:r>
          </a:p>
        </cdr:txBody>
      </cdr:sp>
      <cdr:sp macro="" textlink="">
        <cdr:nvSpPr>
          <cdr:cNvPr id="74" name="TextBox 2"/>
          <cdr:cNvSpPr txBox="1"/>
        </cdr:nvSpPr>
        <cdr:spPr>
          <a:xfrm xmlns:a="http://schemas.openxmlformats.org/drawingml/2006/main">
            <a:off x="7519245" y="7625622"/>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9</a:t>
            </a:r>
          </a:p>
        </cdr:txBody>
      </cdr:sp>
    </cdr:grpSp>
  </cdr:relSizeAnchor>
  <cdr:relSizeAnchor xmlns:cdr="http://schemas.openxmlformats.org/drawingml/2006/chartDrawing">
    <cdr:from>
      <cdr:x>0.21425</cdr:x>
      <cdr:y>0.95803</cdr:y>
    </cdr:from>
    <cdr:to>
      <cdr:x>0.89314</cdr:x>
      <cdr:y>1</cdr:y>
    </cdr:to>
    <cdr:sp macro="" textlink="">
      <cdr:nvSpPr>
        <cdr:cNvPr id="75" name="TextBox 74"/>
        <cdr:cNvSpPr txBox="1"/>
      </cdr:nvSpPr>
      <cdr:spPr>
        <a:xfrm xmlns:a="http://schemas.openxmlformats.org/drawingml/2006/main">
          <a:off x="1811439" y="7578767"/>
          <a:ext cx="5739741" cy="33204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lv-LV" sz="1100"/>
        </a:p>
      </cdr:txBody>
    </cdr:sp>
  </cdr:relSizeAnchor>
  <cdr:relSizeAnchor xmlns:cdr="http://schemas.openxmlformats.org/drawingml/2006/chartDrawing">
    <cdr:from>
      <cdr:x>0.26802</cdr:x>
      <cdr:y>0.90643</cdr:y>
    </cdr:from>
    <cdr:to>
      <cdr:x>0.64051</cdr:x>
      <cdr:y>0.99216</cdr:y>
    </cdr:to>
    <cdr:sp macro="" textlink="">
      <cdr:nvSpPr>
        <cdr:cNvPr id="76" name="TextBox 75"/>
        <cdr:cNvSpPr txBox="1"/>
      </cdr:nvSpPr>
      <cdr:spPr>
        <a:xfrm xmlns:a="http://schemas.openxmlformats.org/drawingml/2006/main">
          <a:off x="4620303" y="9697410"/>
          <a:ext cx="6421225" cy="9171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lv-LV" sz="1700" b="1" i="1">
              <a:solidFill>
                <a:srgbClr val="002060"/>
              </a:solidFill>
            </a:rPr>
            <a:t>*</a:t>
          </a:r>
          <a:r>
            <a:rPr lang="lv-LV" sz="1700" b="1" i="1" baseline="0">
              <a:solidFill>
                <a:srgbClr val="002060"/>
              </a:solidFill>
            </a:rPr>
            <a:t> t.sk. finasējum</a:t>
          </a:r>
          <a:r>
            <a:rPr lang="lv-LV" sz="1700" b="1" i="1" baseline="0">
              <a:solidFill>
                <a:srgbClr val="002060"/>
              </a:solidFill>
              <a:latin typeface="+mn-lt"/>
              <a:ea typeface="+mn-ea"/>
              <a:cs typeface="+mn-cs"/>
            </a:rPr>
            <a:t>s, par kuru plānots virzīt MK noteikumu grozījumus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700" b="1" i="1" baseline="0">
              <a:solidFill>
                <a:srgbClr val="002060"/>
              </a:solidFill>
              <a:latin typeface="+mn-lt"/>
              <a:ea typeface="+mn-ea"/>
              <a:cs typeface="+mn-cs"/>
            </a:rPr>
            <a:t>Virssaistības ņemot vērā MK 08.06.2021.32.§ lemto par virssaistību pārcelšanu uz React-EU</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700" b="1" i="1" baseline="0">
              <a:solidFill>
                <a:srgbClr val="002060"/>
              </a:solidFill>
              <a:latin typeface="+mn-lt"/>
              <a:ea typeface="+mn-ea"/>
              <a:cs typeface="+mn-cs"/>
            </a:rPr>
            <a:t>kā ari EK lēmumu par REACT EU 2.pārskaitījumu un pāreju uz 100% likmi.</a:t>
          </a:r>
        </a:p>
        <a:p xmlns:a="http://schemas.openxmlformats.org/drawingml/2006/main">
          <a:endParaRPr lang="lv-LV" sz="1700" b="1" i="1">
            <a:solidFill>
              <a:srgbClr val="002060"/>
            </a:solidFill>
          </a:endParaRPr>
        </a:p>
      </cdr:txBody>
    </cdr:sp>
  </cdr:relSizeAnchor>
  <cdr:relSizeAnchor xmlns:cdr="http://schemas.openxmlformats.org/drawingml/2006/chartDrawing">
    <cdr:from>
      <cdr:x>0.87947</cdr:x>
      <cdr:y>0.1644</cdr:y>
    </cdr:from>
    <cdr:to>
      <cdr:x>0.95276</cdr:x>
      <cdr:y>0.20112</cdr:y>
    </cdr:to>
    <cdr:sp macro="" textlink="">
      <cdr:nvSpPr>
        <cdr:cNvPr id="19" name="TextBox 2"/>
        <cdr:cNvSpPr txBox="1"/>
      </cdr:nvSpPr>
      <cdr:spPr>
        <a:xfrm xmlns:a="http://schemas.openxmlformats.org/drawingml/2006/main">
          <a:off x="15160891" y="1758818"/>
          <a:ext cx="1263421" cy="39285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+ 109</a:t>
          </a:r>
        </a:p>
      </cdr:txBody>
    </cdr:sp>
  </cdr:relSizeAnchor>
  <cdr:relSizeAnchor xmlns:cdr="http://schemas.openxmlformats.org/drawingml/2006/chartDrawing">
    <cdr:from>
      <cdr:x>0.87605</cdr:x>
      <cdr:y>0.24748</cdr:y>
    </cdr:from>
    <cdr:to>
      <cdr:x>0.94935</cdr:x>
      <cdr:y>0.2842</cdr:y>
    </cdr:to>
    <cdr:sp macro="" textlink="">
      <cdr:nvSpPr>
        <cdr:cNvPr id="20" name="TextBox 2"/>
        <cdr:cNvSpPr txBox="1"/>
      </cdr:nvSpPr>
      <cdr:spPr>
        <a:xfrm xmlns:a="http://schemas.openxmlformats.org/drawingml/2006/main">
          <a:off x="15101932" y="2647653"/>
          <a:ext cx="1263593" cy="39285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+ 9</a:t>
          </a:r>
        </a:p>
      </cdr:txBody>
    </cdr:sp>
  </cdr:relSizeAnchor>
  <cdr:relSizeAnchor xmlns:cdr="http://schemas.openxmlformats.org/drawingml/2006/chartDrawing">
    <cdr:from>
      <cdr:x>0.8808</cdr:x>
      <cdr:y>0.33338</cdr:y>
    </cdr:from>
    <cdr:to>
      <cdr:x>0.9541</cdr:x>
      <cdr:y>0.37009</cdr:y>
    </cdr:to>
    <cdr:sp macro="" textlink="">
      <cdr:nvSpPr>
        <cdr:cNvPr id="21" name="TextBox 2"/>
        <cdr:cNvSpPr txBox="1"/>
      </cdr:nvSpPr>
      <cdr:spPr>
        <a:xfrm xmlns:a="http://schemas.openxmlformats.org/drawingml/2006/main">
          <a:off x="15183883" y="3566673"/>
          <a:ext cx="1263593" cy="392742"/>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a:t>
          </a:r>
          <a:r>
            <a:rPr lang="lv-LV" sz="2400" b="1" baseline="0">
              <a:solidFill>
                <a:srgbClr val="C00000"/>
              </a:solidFill>
            </a:rPr>
            <a:t> 47</a:t>
          </a:r>
          <a:endParaRPr lang="lv-LV" sz="2400" b="1">
            <a:solidFill>
              <a:srgbClr val="C00000"/>
            </a:solidFill>
          </a:endParaRPr>
        </a:p>
      </cdr:txBody>
    </cdr:sp>
  </cdr:relSizeAnchor>
  <cdr:relSizeAnchor xmlns:cdr="http://schemas.openxmlformats.org/drawingml/2006/chartDrawing">
    <cdr:from>
      <cdr:x>0.88133</cdr:x>
      <cdr:y>0.7427</cdr:y>
    </cdr:from>
    <cdr:to>
      <cdr:x>0.95462</cdr:x>
      <cdr:y>0.77942</cdr:y>
    </cdr:to>
    <cdr:sp macro="" textlink="">
      <cdr:nvSpPr>
        <cdr:cNvPr id="23" name="TextBox 2"/>
        <cdr:cNvSpPr txBox="1"/>
      </cdr:nvSpPr>
      <cdr:spPr>
        <a:xfrm xmlns:a="http://schemas.openxmlformats.org/drawingml/2006/main">
          <a:off x="15192924" y="7945804"/>
          <a:ext cx="1263421" cy="392849"/>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a:t>
          </a:r>
          <a:r>
            <a:rPr lang="lv-LV" sz="2400" b="1" baseline="0">
              <a:solidFill>
                <a:srgbClr val="C00000"/>
              </a:solidFill>
            </a:rPr>
            <a:t> 3</a:t>
          </a:r>
          <a:r>
            <a:rPr lang="lv-LV" sz="2400" b="1">
              <a:solidFill>
                <a:srgbClr val="C00000"/>
              </a:solidFill>
            </a:rPr>
            <a:t>7</a:t>
          </a:r>
        </a:p>
      </cdr:txBody>
    </cdr:sp>
  </cdr:relSizeAnchor>
  <cdr:relSizeAnchor xmlns:cdr="http://schemas.openxmlformats.org/drawingml/2006/chartDrawing">
    <cdr:from>
      <cdr:x>0.88026</cdr:x>
      <cdr:y>0.49376</cdr:y>
    </cdr:from>
    <cdr:to>
      <cdr:x>0.95355</cdr:x>
      <cdr:y>0.53048</cdr:y>
    </cdr:to>
    <cdr:sp macro="" textlink="">
      <cdr:nvSpPr>
        <cdr:cNvPr id="24" name="TextBox 2"/>
        <cdr:cNvSpPr txBox="1"/>
      </cdr:nvSpPr>
      <cdr:spPr>
        <a:xfrm xmlns:a="http://schemas.openxmlformats.org/drawingml/2006/main">
          <a:off x="15174417" y="5282501"/>
          <a:ext cx="1263420" cy="39285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+ 15</a:t>
          </a:r>
        </a:p>
      </cdr:txBody>
    </cdr:sp>
  </cdr:relSizeAnchor>
  <cdr:relSizeAnchor xmlns:cdr="http://schemas.openxmlformats.org/drawingml/2006/chartDrawing">
    <cdr:from>
      <cdr:x>0.87503</cdr:x>
      <cdr:y>0.41429</cdr:y>
    </cdr:from>
    <cdr:to>
      <cdr:x>0.94833</cdr:x>
      <cdr:y>0.451</cdr:y>
    </cdr:to>
    <cdr:sp macro="" textlink="">
      <cdr:nvSpPr>
        <cdr:cNvPr id="22" name="TextBox 2">
          <a:extLst xmlns:a="http://schemas.openxmlformats.org/drawingml/2006/main">
            <a:ext uri="{FF2B5EF4-FFF2-40B4-BE49-F238E27FC236}">
              <a16:creationId xmlns:a16="http://schemas.microsoft.com/office/drawing/2014/main" id="{9038B97E-DBE1-41AA-AEDB-4A431EE4D671}"/>
            </a:ext>
          </a:extLst>
        </cdr:cNvPr>
        <cdr:cNvSpPr txBox="1"/>
      </cdr:nvSpPr>
      <cdr:spPr>
        <a:xfrm xmlns:a="http://schemas.openxmlformats.org/drawingml/2006/main">
          <a:off x="15084385" y="4432290"/>
          <a:ext cx="1263593" cy="392743"/>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a:t>
          </a:r>
          <a:r>
            <a:rPr lang="lv-LV" sz="2400" b="1" baseline="0">
              <a:solidFill>
                <a:srgbClr val="C00000"/>
              </a:solidFill>
            </a:rPr>
            <a:t> 1</a:t>
          </a:r>
          <a:endParaRPr lang="lv-LV" sz="2400" b="1">
            <a:solidFill>
              <a:srgbClr val="C00000"/>
            </a:solidFill>
          </a:endParaRP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kase.gov.lv/parskati/es-lidzeklu-izmantosana"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6" tint="0.59999389629810485"/>
    <pageSetUpPr fitToPage="1"/>
  </sheetPr>
  <dimension ref="A1:G224"/>
  <sheetViews>
    <sheetView zoomScale="70" zoomScaleNormal="70" workbookViewId="0">
      <pane xSplit="3" ySplit="5" topLeftCell="D203" activePane="bottomRight" state="frozen"/>
      <selection pane="topRight" activeCell="F1" sqref="F1"/>
      <selection pane="bottomLeft" activeCell="A13" sqref="A13"/>
      <selection pane="bottomRight" activeCell="A208" sqref="A208"/>
    </sheetView>
  </sheetViews>
  <sheetFormatPr defaultColWidth="9.42578125" defaultRowHeight="18.75" outlineLevelCol="1" x14ac:dyDescent="0.3"/>
  <cols>
    <col min="1" max="1" width="12.5703125" style="150" customWidth="1"/>
    <col min="2" max="2" width="77.42578125" style="169" customWidth="1"/>
    <col min="3" max="3" width="15.42578125" style="152" customWidth="1"/>
    <col min="4" max="4" width="109.42578125" style="153" customWidth="1" outlineLevel="1"/>
    <col min="5" max="5" width="43.42578125" style="3" customWidth="1"/>
    <col min="6" max="6" width="71.42578125" style="3" customWidth="1"/>
    <col min="7" max="7" width="44.5703125" style="3" customWidth="1"/>
    <col min="8" max="16384" width="9.42578125" style="3"/>
  </cols>
  <sheetData>
    <row r="1" spans="1:7" ht="55.5" customHeight="1" x14ac:dyDescent="0.35">
      <c r="A1" s="495" t="s">
        <v>1523</v>
      </c>
      <c r="B1" s="495"/>
    </row>
    <row r="2" spans="1:7" ht="25.5" x14ac:dyDescent="0.35">
      <c r="B2" s="151"/>
    </row>
    <row r="3" spans="1:7" ht="18.75" customHeight="1" x14ac:dyDescent="0.3">
      <c r="A3" s="491" t="s">
        <v>634</v>
      </c>
      <c r="B3" s="492"/>
      <c r="C3" s="492"/>
      <c r="D3" s="493"/>
      <c r="E3" s="494" t="s">
        <v>635</v>
      </c>
      <c r="F3" s="494"/>
      <c r="G3" s="494"/>
    </row>
    <row r="4" spans="1:7" ht="62.25" customHeight="1" x14ac:dyDescent="0.3">
      <c r="A4" s="154" t="s">
        <v>3</v>
      </c>
      <c r="B4" s="155" t="s">
        <v>636</v>
      </c>
      <c r="C4" s="68" t="s">
        <v>637</v>
      </c>
      <c r="D4" s="68" t="s">
        <v>638</v>
      </c>
      <c r="E4" s="156" t="s">
        <v>639</v>
      </c>
      <c r="F4" s="156" t="s">
        <v>640</v>
      </c>
      <c r="G4" s="156" t="s">
        <v>641</v>
      </c>
    </row>
    <row r="5" spans="1:7" ht="18" customHeight="1" x14ac:dyDescent="0.3">
      <c r="A5" s="157" t="s">
        <v>238</v>
      </c>
      <c r="B5" s="157" t="s">
        <v>249</v>
      </c>
      <c r="C5" s="157" t="s">
        <v>253</v>
      </c>
      <c r="D5" s="158" t="s">
        <v>263</v>
      </c>
      <c r="E5" s="159" t="s">
        <v>272</v>
      </c>
      <c r="F5" s="159" t="s">
        <v>284</v>
      </c>
      <c r="G5" s="159" t="s">
        <v>295</v>
      </c>
    </row>
    <row r="6" spans="1:7" x14ac:dyDescent="0.3">
      <c r="A6" s="160" t="s">
        <v>0</v>
      </c>
      <c r="B6" s="161" t="s">
        <v>1</v>
      </c>
      <c r="C6" s="162"/>
      <c r="D6" s="163"/>
      <c r="E6" s="42" t="s">
        <v>642</v>
      </c>
      <c r="F6" s="42" t="s">
        <v>643</v>
      </c>
      <c r="G6" s="42" t="s">
        <v>644</v>
      </c>
    </row>
    <row r="7" spans="1:7" ht="75" x14ac:dyDescent="0.3">
      <c r="A7" s="383" t="s">
        <v>4</v>
      </c>
      <c r="B7" s="276" t="s">
        <v>5</v>
      </c>
      <c r="C7" s="276"/>
      <c r="D7" s="276"/>
      <c r="E7" s="276" t="s">
        <v>645</v>
      </c>
      <c r="F7" s="276" t="s">
        <v>646</v>
      </c>
      <c r="G7" s="384" t="s">
        <v>1392</v>
      </c>
    </row>
    <row r="8" spans="1:7" ht="95.25" customHeight="1" x14ac:dyDescent="0.3">
      <c r="A8" s="383" t="s">
        <v>428</v>
      </c>
      <c r="B8" s="276" t="s">
        <v>6</v>
      </c>
      <c r="C8" s="276"/>
      <c r="D8" s="276"/>
      <c r="E8" s="276" t="s">
        <v>647</v>
      </c>
      <c r="F8" s="276" t="s">
        <v>648</v>
      </c>
      <c r="G8" s="276" t="s">
        <v>649</v>
      </c>
    </row>
    <row r="9" spans="1:7" ht="90.75" customHeight="1" x14ac:dyDescent="0.3">
      <c r="A9" s="385" t="s">
        <v>239</v>
      </c>
      <c r="B9" s="276" t="s">
        <v>161</v>
      </c>
      <c r="C9" s="276" t="s">
        <v>348</v>
      </c>
      <c r="D9" s="276" t="s">
        <v>650</v>
      </c>
      <c r="E9" s="276" t="s">
        <v>161</v>
      </c>
      <c r="F9" s="276" t="s">
        <v>651</v>
      </c>
      <c r="G9" s="276" t="s">
        <v>652</v>
      </c>
    </row>
    <row r="10" spans="1:7" ht="46.5" customHeight="1" x14ac:dyDescent="0.3">
      <c r="A10" s="385" t="s">
        <v>240</v>
      </c>
      <c r="B10" s="276" t="s">
        <v>162</v>
      </c>
      <c r="C10" s="276" t="s">
        <v>348</v>
      </c>
      <c r="D10" s="276" t="s">
        <v>653</v>
      </c>
      <c r="E10" s="276" t="s">
        <v>654</v>
      </c>
      <c r="F10" s="386" t="s">
        <v>655</v>
      </c>
      <c r="G10" s="276" t="s">
        <v>656</v>
      </c>
    </row>
    <row r="11" spans="1:7" ht="70.5" customHeight="1" x14ac:dyDescent="0.3">
      <c r="A11" s="385" t="s">
        <v>241</v>
      </c>
      <c r="B11" s="276" t="s">
        <v>163</v>
      </c>
      <c r="C11" s="276" t="s">
        <v>348</v>
      </c>
      <c r="D11" s="276" t="s">
        <v>657</v>
      </c>
      <c r="E11" s="276" t="s">
        <v>163</v>
      </c>
      <c r="F11" s="276" t="s">
        <v>658</v>
      </c>
      <c r="G11" s="276" t="s">
        <v>658</v>
      </c>
    </row>
    <row r="12" spans="1:7" ht="63" customHeight="1" x14ac:dyDescent="0.3">
      <c r="A12" s="385" t="s">
        <v>242</v>
      </c>
      <c r="B12" s="276" t="s">
        <v>164</v>
      </c>
      <c r="C12" s="276" t="s">
        <v>348</v>
      </c>
      <c r="D12" s="276" t="s">
        <v>659</v>
      </c>
      <c r="E12" s="276" t="s">
        <v>660</v>
      </c>
      <c r="F12" s="276" t="s">
        <v>661</v>
      </c>
      <c r="G12" s="276" t="s">
        <v>662</v>
      </c>
    </row>
    <row r="13" spans="1:7" ht="114" customHeight="1" x14ac:dyDescent="0.3">
      <c r="A13" s="385" t="s">
        <v>243</v>
      </c>
      <c r="B13" s="276" t="s">
        <v>165</v>
      </c>
      <c r="C13" s="276" t="s">
        <v>348</v>
      </c>
      <c r="D13" s="276" t="s">
        <v>663</v>
      </c>
      <c r="E13" s="276" t="s">
        <v>664</v>
      </c>
      <c r="F13" s="276" t="s">
        <v>665</v>
      </c>
      <c r="G13" s="276" t="s">
        <v>666</v>
      </c>
    </row>
    <row r="14" spans="1:7" ht="255" customHeight="1" x14ac:dyDescent="0.3">
      <c r="A14" s="383" t="s">
        <v>7</v>
      </c>
      <c r="B14" s="276" t="s">
        <v>377</v>
      </c>
      <c r="C14" s="276"/>
      <c r="D14" s="276"/>
      <c r="E14" s="276" t="s">
        <v>667</v>
      </c>
      <c r="F14" s="276" t="s">
        <v>668</v>
      </c>
      <c r="G14" s="276" t="s">
        <v>669</v>
      </c>
    </row>
    <row r="15" spans="1:7" x14ac:dyDescent="0.3">
      <c r="A15" s="383" t="s">
        <v>429</v>
      </c>
      <c r="B15" s="276" t="s">
        <v>8</v>
      </c>
      <c r="C15" s="276"/>
      <c r="D15" s="276"/>
      <c r="E15" s="276" t="s">
        <v>670</v>
      </c>
      <c r="F15" s="276" t="s">
        <v>671</v>
      </c>
      <c r="G15" s="276" t="s">
        <v>672</v>
      </c>
    </row>
    <row r="16" spans="1:7" ht="47.25" customHeight="1" x14ac:dyDescent="0.3">
      <c r="A16" s="385" t="s">
        <v>244</v>
      </c>
      <c r="B16" s="276" t="s">
        <v>166</v>
      </c>
      <c r="C16" s="276" t="s">
        <v>349</v>
      </c>
      <c r="D16" s="276" t="s">
        <v>673</v>
      </c>
      <c r="E16" s="276" t="s">
        <v>674</v>
      </c>
      <c r="F16" s="276" t="s">
        <v>675</v>
      </c>
      <c r="G16" s="276" t="s">
        <v>676</v>
      </c>
    </row>
    <row r="17" spans="1:7" ht="87.75" customHeight="1" x14ac:dyDescent="0.3">
      <c r="A17" s="385" t="s">
        <v>245</v>
      </c>
      <c r="B17" s="276" t="s">
        <v>167</v>
      </c>
      <c r="C17" s="276" t="s">
        <v>349</v>
      </c>
      <c r="D17" s="276" t="s">
        <v>677</v>
      </c>
      <c r="E17" s="276" t="s">
        <v>678</v>
      </c>
      <c r="F17" s="386" t="s">
        <v>679</v>
      </c>
      <c r="G17" s="276" t="s">
        <v>680</v>
      </c>
    </row>
    <row r="18" spans="1:7" ht="50.25" customHeight="1" x14ac:dyDescent="0.3">
      <c r="A18" s="385" t="s">
        <v>246</v>
      </c>
      <c r="B18" s="276" t="s">
        <v>168</v>
      </c>
      <c r="C18" s="276" t="s">
        <v>349</v>
      </c>
      <c r="D18" s="276" t="s">
        <v>681</v>
      </c>
      <c r="E18" s="276" t="s">
        <v>682</v>
      </c>
      <c r="F18" s="386" t="s">
        <v>683</v>
      </c>
      <c r="G18" s="276" t="s">
        <v>684</v>
      </c>
    </row>
    <row r="19" spans="1:7" ht="37.5" customHeight="1" x14ac:dyDescent="0.3">
      <c r="A19" s="383" t="s">
        <v>430</v>
      </c>
      <c r="B19" s="276" t="s">
        <v>9</v>
      </c>
      <c r="C19" s="276"/>
      <c r="D19" s="276"/>
      <c r="E19" s="276" t="s">
        <v>685</v>
      </c>
      <c r="F19" s="276" t="s">
        <v>686</v>
      </c>
      <c r="G19" s="276" t="s">
        <v>687</v>
      </c>
    </row>
    <row r="20" spans="1:7" ht="61.5" customHeight="1" x14ac:dyDescent="0.3">
      <c r="A20" s="385" t="s">
        <v>247</v>
      </c>
      <c r="B20" s="276" t="s">
        <v>169</v>
      </c>
      <c r="C20" s="276" t="s">
        <v>349</v>
      </c>
      <c r="D20" s="276" t="s">
        <v>688</v>
      </c>
      <c r="E20" s="276" t="s">
        <v>689</v>
      </c>
      <c r="F20" s="276" t="s">
        <v>690</v>
      </c>
      <c r="G20" s="276" t="s">
        <v>691</v>
      </c>
    </row>
    <row r="21" spans="1:7" ht="87.75" customHeight="1" x14ac:dyDescent="0.3">
      <c r="A21" s="385" t="s">
        <v>248</v>
      </c>
      <c r="B21" s="276" t="s">
        <v>170</v>
      </c>
      <c r="C21" s="276" t="s">
        <v>349</v>
      </c>
      <c r="D21" s="276" t="s">
        <v>692</v>
      </c>
      <c r="E21" s="276" t="s">
        <v>693</v>
      </c>
      <c r="F21" s="276" t="s">
        <v>694</v>
      </c>
      <c r="G21" s="276" t="s">
        <v>695</v>
      </c>
    </row>
    <row r="22" spans="1:7" ht="74.25" customHeight="1" x14ac:dyDescent="0.3">
      <c r="A22" s="385" t="s">
        <v>395</v>
      </c>
      <c r="B22" s="276" t="s">
        <v>394</v>
      </c>
      <c r="C22" s="276" t="s">
        <v>349</v>
      </c>
      <c r="D22" s="276" t="s">
        <v>696</v>
      </c>
      <c r="E22" s="276" t="s">
        <v>697</v>
      </c>
      <c r="F22" s="276" t="s">
        <v>698</v>
      </c>
      <c r="G22" s="276" t="s">
        <v>699</v>
      </c>
    </row>
    <row r="23" spans="1:7" s="24" customFormat="1" ht="48" customHeight="1" x14ac:dyDescent="0.3">
      <c r="A23" s="387" t="s">
        <v>12</v>
      </c>
      <c r="B23" s="388" t="s">
        <v>13</v>
      </c>
      <c r="C23" s="388"/>
      <c r="D23" s="388"/>
      <c r="E23" s="388" t="s">
        <v>700</v>
      </c>
      <c r="F23" s="388" t="s">
        <v>701</v>
      </c>
      <c r="G23" s="388" t="s">
        <v>702</v>
      </c>
    </row>
    <row r="24" spans="1:7" ht="94.5" customHeight="1" x14ac:dyDescent="0.3">
      <c r="A24" s="383" t="s">
        <v>10</v>
      </c>
      <c r="B24" s="276" t="s">
        <v>14</v>
      </c>
      <c r="C24" s="276"/>
      <c r="D24" s="276"/>
      <c r="E24" s="276" t="s">
        <v>703</v>
      </c>
      <c r="F24" s="276" t="s">
        <v>704</v>
      </c>
      <c r="G24" s="276" t="s">
        <v>705</v>
      </c>
    </row>
    <row r="25" spans="1:7" ht="67.5" customHeight="1" x14ac:dyDescent="0.3">
      <c r="A25" s="383" t="s">
        <v>250</v>
      </c>
      <c r="B25" s="276" t="s">
        <v>15</v>
      </c>
      <c r="C25" s="276" t="s">
        <v>347</v>
      </c>
      <c r="D25" s="276" t="s">
        <v>706</v>
      </c>
      <c r="E25" s="384" t="s">
        <v>707</v>
      </c>
      <c r="F25" s="276" t="s">
        <v>708</v>
      </c>
      <c r="G25" s="384" t="s">
        <v>709</v>
      </c>
    </row>
    <row r="26" spans="1:7" ht="78.75" customHeight="1" x14ac:dyDescent="0.3">
      <c r="A26" s="383" t="s">
        <v>1342</v>
      </c>
      <c r="B26" s="276" t="s">
        <v>1340</v>
      </c>
      <c r="C26" s="276" t="s">
        <v>347</v>
      </c>
      <c r="D26" s="276"/>
      <c r="E26" s="384" t="s">
        <v>1393</v>
      </c>
      <c r="F26" s="384" t="s">
        <v>1394</v>
      </c>
      <c r="G26" s="384" t="s">
        <v>1395</v>
      </c>
    </row>
    <row r="27" spans="1:7" ht="105" customHeight="1" x14ac:dyDescent="0.3">
      <c r="A27" s="383" t="s">
        <v>1522</v>
      </c>
      <c r="B27" s="276" t="s">
        <v>493</v>
      </c>
      <c r="C27" s="276"/>
      <c r="D27" s="276"/>
      <c r="E27" s="276" t="s">
        <v>710</v>
      </c>
      <c r="F27" s="276" t="s">
        <v>711</v>
      </c>
      <c r="G27" s="276" t="s">
        <v>712</v>
      </c>
    </row>
    <row r="28" spans="1:7" ht="103.5" customHeight="1" x14ac:dyDescent="0.3">
      <c r="A28" s="383" t="s">
        <v>431</v>
      </c>
      <c r="B28" s="276" t="s">
        <v>36</v>
      </c>
      <c r="C28" s="276"/>
      <c r="D28" s="276"/>
      <c r="E28" s="276" t="s">
        <v>713</v>
      </c>
      <c r="F28" s="276" t="s">
        <v>714</v>
      </c>
      <c r="G28" s="276" t="s">
        <v>715</v>
      </c>
    </row>
    <row r="29" spans="1:7" ht="72" customHeight="1" x14ac:dyDescent="0.3">
      <c r="A29" s="385" t="s">
        <v>251</v>
      </c>
      <c r="B29" s="276" t="s">
        <v>171</v>
      </c>
      <c r="C29" s="276" t="s">
        <v>350</v>
      </c>
      <c r="D29" s="276" t="s">
        <v>716</v>
      </c>
      <c r="E29" s="276" t="s">
        <v>1239</v>
      </c>
      <c r="F29" s="276" t="s">
        <v>717</v>
      </c>
      <c r="G29" s="276" t="s">
        <v>718</v>
      </c>
    </row>
    <row r="30" spans="1:7" ht="37.5" customHeight="1" x14ac:dyDescent="0.3">
      <c r="A30" s="385" t="s">
        <v>252</v>
      </c>
      <c r="B30" s="276" t="s">
        <v>494</v>
      </c>
      <c r="C30" s="276" t="s">
        <v>350</v>
      </c>
      <c r="D30" s="276" t="s">
        <v>719</v>
      </c>
      <c r="E30" s="276" t="s">
        <v>494</v>
      </c>
      <c r="F30" s="276" t="s">
        <v>720</v>
      </c>
      <c r="G30" s="276" t="s">
        <v>720</v>
      </c>
    </row>
    <row r="31" spans="1:7" ht="95.25" customHeight="1" x14ac:dyDescent="0.3">
      <c r="A31" s="387" t="s">
        <v>18</v>
      </c>
      <c r="B31" s="388" t="s">
        <v>19</v>
      </c>
      <c r="C31" s="388"/>
      <c r="D31" s="388"/>
      <c r="E31" s="388" t="s">
        <v>721</v>
      </c>
      <c r="F31" s="388" t="s">
        <v>722</v>
      </c>
      <c r="G31" s="388" t="s">
        <v>723</v>
      </c>
    </row>
    <row r="32" spans="1:7" ht="66" customHeight="1" x14ac:dyDescent="0.3">
      <c r="A32" s="383" t="s">
        <v>20</v>
      </c>
      <c r="B32" s="276" t="s">
        <v>21</v>
      </c>
      <c r="C32" s="276"/>
      <c r="D32" s="276"/>
      <c r="E32" s="276" t="s">
        <v>724</v>
      </c>
      <c r="F32" s="276" t="s">
        <v>1396</v>
      </c>
      <c r="G32" s="276" t="s">
        <v>725</v>
      </c>
    </row>
    <row r="33" spans="1:7" ht="51" customHeight="1" x14ac:dyDescent="0.3">
      <c r="A33" s="383" t="s">
        <v>432</v>
      </c>
      <c r="B33" s="276" t="s">
        <v>497</v>
      </c>
      <c r="C33" s="276"/>
      <c r="D33" s="276"/>
      <c r="E33" s="276" t="s">
        <v>726</v>
      </c>
      <c r="F33" s="276" t="s">
        <v>727</v>
      </c>
      <c r="G33" s="276" t="s">
        <v>728</v>
      </c>
    </row>
    <row r="34" spans="1:7" ht="58.5" customHeight="1" x14ac:dyDescent="0.3">
      <c r="A34" s="385" t="s">
        <v>254</v>
      </c>
      <c r="B34" s="276" t="s">
        <v>173</v>
      </c>
      <c r="C34" s="276" t="s">
        <v>349</v>
      </c>
      <c r="D34" s="276" t="s">
        <v>729</v>
      </c>
      <c r="E34" s="276" t="s">
        <v>173</v>
      </c>
      <c r="F34" s="276" t="s">
        <v>730</v>
      </c>
      <c r="G34" s="276" t="s">
        <v>730</v>
      </c>
    </row>
    <row r="35" spans="1:7" ht="45" customHeight="1" x14ac:dyDescent="0.3">
      <c r="A35" s="385" t="s">
        <v>255</v>
      </c>
      <c r="B35" s="276" t="s">
        <v>174</v>
      </c>
      <c r="C35" s="276" t="s">
        <v>349</v>
      </c>
      <c r="D35" s="276" t="s">
        <v>731</v>
      </c>
      <c r="E35" s="276" t="s">
        <v>174</v>
      </c>
      <c r="F35" s="276" t="s">
        <v>732</v>
      </c>
      <c r="G35" s="276" t="s">
        <v>732</v>
      </c>
    </row>
    <row r="36" spans="1:7" ht="56.25" customHeight="1" x14ac:dyDescent="0.3">
      <c r="A36" s="389" t="s">
        <v>256</v>
      </c>
      <c r="B36" s="390" t="s">
        <v>1284</v>
      </c>
      <c r="C36" s="390" t="s">
        <v>349</v>
      </c>
      <c r="D36" s="390" t="s">
        <v>733</v>
      </c>
      <c r="E36" s="390" t="s">
        <v>1397</v>
      </c>
      <c r="F36" s="390" t="s">
        <v>1398</v>
      </c>
      <c r="G36" s="390" t="s">
        <v>1399</v>
      </c>
    </row>
    <row r="37" spans="1:7" ht="52.5" customHeight="1" x14ac:dyDescent="0.3">
      <c r="A37" s="385" t="s">
        <v>257</v>
      </c>
      <c r="B37" s="276" t="s">
        <v>176</v>
      </c>
      <c r="C37" s="276" t="s">
        <v>349</v>
      </c>
      <c r="D37" s="276" t="s">
        <v>734</v>
      </c>
      <c r="E37" s="384" t="s">
        <v>735</v>
      </c>
      <c r="F37" s="276" t="s">
        <v>736</v>
      </c>
      <c r="G37" s="384" t="s">
        <v>736</v>
      </c>
    </row>
    <row r="38" spans="1:7" ht="72" customHeight="1" x14ac:dyDescent="0.3">
      <c r="A38" s="385" t="s">
        <v>258</v>
      </c>
      <c r="B38" s="276" t="s">
        <v>177</v>
      </c>
      <c r="C38" s="276" t="s">
        <v>349</v>
      </c>
      <c r="D38" s="276" t="s">
        <v>737</v>
      </c>
      <c r="E38" s="276" t="s">
        <v>738</v>
      </c>
      <c r="F38" s="384" t="s">
        <v>739</v>
      </c>
      <c r="G38" s="276" t="s">
        <v>740</v>
      </c>
    </row>
    <row r="39" spans="1:7" ht="37.5" customHeight="1" x14ac:dyDescent="0.3">
      <c r="A39" s="385" t="s">
        <v>259</v>
      </c>
      <c r="B39" s="276" t="s">
        <v>178</v>
      </c>
      <c r="C39" s="276" t="s">
        <v>349</v>
      </c>
      <c r="D39" s="276" t="s">
        <v>741</v>
      </c>
      <c r="E39" s="276" t="s">
        <v>742</v>
      </c>
      <c r="F39" s="276" t="s">
        <v>743</v>
      </c>
      <c r="G39" s="276" t="s">
        <v>744</v>
      </c>
    </row>
    <row r="40" spans="1:7" ht="31.5" customHeight="1" x14ac:dyDescent="0.3">
      <c r="A40" s="385" t="s">
        <v>1400</v>
      </c>
      <c r="B40" s="276" t="s">
        <v>1401</v>
      </c>
      <c r="C40" s="276" t="s">
        <v>349</v>
      </c>
      <c r="D40" s="276"/>
      <c r="E40" s="276" t="s">
        <v>1365</v>
      </c>
      <c r="F40" s="276" t="s">
        <v>1402</v>
      </c>
      <c r="G40" s="276" t="s">
        <v>1403</v>
      </c>
    </row>
    <row r="41" spans="1:7" ht="37.5" customHeight="1" x14ac:dyDescent="0.3">
      <c r="A41" s="383" t="s">
        <v>433</v>
      </c>
      <c r="B41" s="276" t="s">
        <v>38</v>
      </c>
      <c r="C41" s="276"/>
      <c r="D41" s="276"/>
      <c r="E41" s="276" t="s">
        <v>38</v>
      </c>
      <c r="F41" s="276" t="s">
        <v>745</v>
      </c>
      <c r="G41" s="276" t="s">
        <v>746</v>
      </c>
    </row>
    <row r="42" spans="1:7" ht="66" customHeight="1" x14ac:dyDescent="0.3">
      <c r="A42" s="385" t="s">
        <v>260</v>
      </c>
      <c r="B42" s="276" t="s">
        <v>179</v>
      </c>
      <c r="C42" s="276" t="s">
        <v>349</v>
      </c>
      <c r="D42" s="276" t="s">
        <v>747</v>
      </c>
      <c r="E42" s="276" t="s">
        <v>179</v>
      </c>
      <c r="F42" s="276" t="s">
        <v>748</v>
      </c>
      <c r="G42" s="276" t="s">
        <v>748</v>
      </c>
    </row>
    <row r="43" spans="1:7" ht="37.5" customHeight="1" x14ac:dyDescent="0.3">
      <c r="A43" s="385" t="s">
        <v>261</v>
      </c>
      <c r="B43" s="276" t="s">
        <v>180</v>
      </c>
      <c r="C43" s="276" t="s">
        <v>349</v>
      </c>
      <c r="D43" s="276" t="s">
        <v>749</v>
      </c>
      <c r="E43" s="276" t="s">
        <v>180</v>
      </c>
      <c r="F43" s="276" t="s">
        <v>750</v>
      </c>
      <c r="G43" s="276" t="s">
        <v>750</v>
      </c>
    </row>
    <row r="44" spans="1:7" ht="52.5" customHeight="1" x14ac:dyDescent="0.3">
      <c r="A44" s="383" t="s">
        <v>22</v>
      </c>
      <c r="B44" s="276" t="s">
        <v>26</v>
      </c>
      <c r="C44" s="276"/>
      <c r="D44" s="276"/>
      <c r="E44" s="276" t="s">
        <v>751</v>
      </c>
      <c r="F44" s="276" t="s">
        <v>752</v>
      </c>
      <c r="G44" s="384" t="s">
        <v>753</v>
      </c>
    </row>
    <row r="45" spans="1:7" ht="87.75" customHeight="1" x14ac:dyDescent="0.3">
      <c r="A45" s="383" t="s">
        <v>434</v>
      </c>
      <c r="B45" s="276" t="s">
        <v>39</v>
      </c>
      <c r="C45" s="276"/>
      <c r="D45" s="276"/>
      <c r="E45" s="276" t="s">
        <v>754</v>
      </c>
      <c r="F45" s="276" t="s">
        <v>755</v>
      </c>
      <c r="G45" s="276" t="s">
        <v>756</v>
      </c>
    </row>
    <row r="46" spans="1:7" ht="56.25" customHeight="1" x14ac:dyDescent="0.3">
      <c r="A46" s="385" t="s">
        <v>411</v>
      </c>
      <c r="B46" s="276" t="s">
        <v>182</v>
      </c>
      <c r="C46" s="276" t="s">
        <v>349</v>
      </c>
      <c r="D46" s="276" t="s">
        <v>757</v>
      </c>
      <c r="E46" s="276" t="s">
        <v>182</v>
      </c>
      <c r="F46" s="276" t="s">
        <v>758</v>
      </c>
      <c r="G46" s="276" t="s">
        <v>758</v>
      </c>
    </row>
    <row r="47" spans="1:7" ht="93.75" customHeight="1" x14ac:dyDescent="0.3">
      <c r="A47" s="385" t="s">
        <v>364</v>
      </c>
      <c r="B47" s="276" t="s">
        <v>181</v>
      </c>
      <c r="C47" s="276" t="s">
        <v>349</v>
      </c>
      <c r="D47" s="276" t="s">
        <v>759</v>
      </c>
      <c r="E47" s="276" t="s">
        <v>760</v>
      </c>
      <c r="F47" s="276" t="s">
        <v>761</v>
      </c>
      <c r="G47" s="276" t="s">
        <v>762</v>
      </c>
    </row>
    <row r="48" spans="1:7" ht="117.75" customHeight="1" x14ac:dyDescent="0.3">
      <c r="A48" s="383" t="s">
        <v>23</v>
      </c>
      <c r="B48" s="276" t="s">
        <v>27</v>
      </c>
      <c r="C48" s="276"/>
      <c r="D48" s="276"/>
      <c r="E48" s="276" t="s">
        <v>763</v>
      </c>
      <c r="F48" s="276" t="s">
        <v>764</v>
      </c>
      <c r="G48" s="276" t="s">
        <v>765</v>
      </c>
    </row>
    <row r="49" spans="1:7" ht="188.25" customHeight="1" x14ac:dyDescent="0.3">
      <c r="A49" s="383" t="s">
        <v>262</v>
      </c>
      <c r="B49" s="276" t="s">
        <v>40</v>
      </c>
      <c r="C49" s="276" t="s">
        <v>350</v>
      </c>
      <c r="D49" s="276" t="s">
        <v>766</v>
      </c>
      <c r="E49" s="276" t="s">
        <v>767</v>
      </c>
      <c r="F49" s="276" t="s">
        <v>768</v>
      </c>
      <c r="G49" s="276" t="s">
        <v>769</v>
      </c>
    </row>
    <row r="50" spans="1:7" ht="223.5" customHeight="1" x14ac:dyDescent="0.3">
      <c r="A50" s="383" t="s">
        <v>24</v>
      </c>
      <c r="B50" s="276" t="s">
        <v>28</v>
      </c>
      <c r="C50" s="276"/>
      <c r="D50" s="276"/>
      <c r="E50" s="276" t="s">
        <v>770</v>
      </c>
      <c r="F50" s="276" t="s">
        <v>771</v>
      </c>
      <c r="G50" s="276" t="s">
        <v>772</v>
      </c>
    </row>
    <row r="51" spans="1:7" ht="93.75" customHeight="1" x14ac:dyDescent="0.3">
      <c r="A51" s="383" t="s">
        <v>417</v>
      </c>
      <c r="B51" s="276" t="s">
        <v>41</v>
      </c>
      <c r="C51" s="276" t="s">
        <v>353</v>
      </c>
      <c r="D51" s="276" t="s">
        <v>773</v>
      </c>
      <c r="E51" s="384" t="s">
        <v>774</v>
      </c>
      <c r="F51" s="276" t="s">
        <v>775</v>
      </c>
      <c r="G51" s="384" t="s">
        <v>776</v>
      </c>
    </row>
    <row r="52" spans="1:7" ht="37.5" customHeight="1" x14ac:dyDescent="0.3">
      <c r="A52" s="391" t="s">
        <v>418</v>
      </c>
      <c r="B52" s="384" t="s">
        <v>777</v>
      </c>
      <c r="C52" s="384" t="s">
        <v>354</v>
      </c>
      <c r="D52" s="384" t="s">
        <v>778</v>
      </c>
      <c r="E52" s="276" t="s">
        <v>779</v>
      </c>
      <c r="F52" s="276" t="s">
        <v>780</v>
      </c>
      <c r="G52" s="276" t="s">
        <v>781</v>
      </c>
    </row>
    <row r="53" spans="1:7" ht="37.5" customHeight="1" x14ac:dyDescent="0.3">
      <c r="A53" s="392" t="s">
        <v>458</v>
      </c>
      <c r="B53" s="384" t="s">
        <v>456</v>
      </c>
      <c r="C53" s="384" t="s">
        <v>354</v>
      </c>
      <c r="D53" s="393"/>
      <c r="E53" s="276" t="s">
        <v>782</v>
      </c>
      <c r="F53" s="276" t="s">
        <v>1404</v>
      </c>
      <c r="G53" s="276" t="s">
        <v>783</v>
      </c>
    </row>
    <row r="54" spans="1:7" ht="56.25" customHeight="1" x14ac:dyDescent="0.3">
      <c r="A54" s="392" t="s">
        <v>457</v>
      </c>
      <c r="B54" s="384" t="s">
        <v>459</v>
      </c>
      <c r="C54" s="384" t="s">
        <v>354</v>
      </c>
      <c r="D54" s="393"/>
      <c r="E54" s="276" t="s">
        <v>784</v>
      </c>
      <c r="F54" s="276" t="s">
        <v>785</v>
      </c>
      <c r="G54" s="276" t="s">
        <v>786</v>
      </c>
    </row>
    <row r="55" spans="1:7" ht="59.25" customHeight="1" x14ac:dyDescent="0.3">
      <c r="A55" s="394" t="s">
        <v>1242</v>
      </c>
      <c r="B55" s="395" t="s">
        <v>1241</v>
      </c>
      <c r="C55" s="396" t="s">
        <v>354</v>
      </c>
      <c r="D55" s="397"/>
      <c r="E55" s="390" t="s">
        <v>1241</v>
      </c>
      <c r="F55" s="390" t="s">
        <v>1405</v>
      </c>
      <c r="G55" s="390" t="s">
        <v>1405</v>
      </c>
    </row>
    <row r="56" spans="1:7" ht="82.5" customHeight="1" x14ac:dyDescent="0.3">
      <c r="A56" s="387" t="s">
        <v>29</v>
      </c>
      <c r="B56" s="388" t="s">
        <v>30</v>
      </c>
      <c r="C56" s="388"/>
      <c r="D56" s="388"/>
      <c r="E56" s="388" t="s">
        <v>787</v>
      </c>
      <c r="F56" s="388" t="s">
        <v>788</v>
      </c>
      <c r="G56" s="388" t="s">
        <v>789</v>
      </c>
    </row>
    <row r="57" spans="1:7" ht="101.25" customHeight="1" x14ac:dyDescent="0.3">
      <c r="A57" s="383" t="s">
        <v>31</v>
      </c>
      <c r="B57" s="276" t="s">
        <v>43</v>
      </c>
      <c r="C57" s="276"/>
      <c r="D57" s="276"/>
      <c r="E57" s="276" t="s">
        <v>790</v>
      </c>
      <c r="F57" s="276" t="s">
        <v>791</v>
      </c>
      <c r="G57" s="384" t="s">
        <v>792</v>
      </c>
    </row>
    <row r="58" spans="1:7" ht="56.25" customHeight="1" x14ac:dyDescent="0.3">
      <c r="A58" s="383" t="s">
        <v>264</v>
      </c>
      <c r="B58" s="276" t="s">
        <v>44</v>
      </c>
      <c r="C58" s="276" t="s">
        <v>349</v>
      </c>
      <c r="D58" s="276" t="s">
        <v>793</v>
      </c>
      <c r="E58" s="384" t="s">
        <v>794</v>
      </c>
      <c r="F58" s="276" t="s">
        <v>795</v>
      </c>
      <c r="G58" s="384" t="s">
        <v>796</v>
      </c>
    </row>
    <row r="59" spans="1:7" ht="47.25" customHeight="1" x14ac:dyDescent="0.3">
      <c r="A59" s="383" t="s">
        <v>32</v>
      </c>
      <c r="B59" s="276" t="s">
        <v>42</v>
      </c>
      <c r="C59" s="276" t="s">
        <v>349</v>
      </c>
      <c r="D59" s="276"/>
      <c r="E59" s="384" t="s">
        <v>797</v>
      </c>
      <c r="F59" s="276" t="s">
        <v>795</v>
      </c>
      <c r="G59" s="384" t="s">
        <v>798</v>
      </c>
    </row>
    <row r="60" spans="1:7" ht="54.75" customHeight="1" x14ac:dyDescent="0.3">
      <c r="A60" s="383" t="s">
        <v>435</v>
      </c>
      <c r="B60" s="276" t="s">
        <v>34</v>
      </c>
      <c r="C60" s="276" t="s">
        <v>349</v>
      </c>
      <c r="D60" s="276"/>
      <c r="E60" s="384" t="s">
        <v>797</v>
      </c>
      <c r="F60" s="276" t="s">
        <v>795</v>
      </c>
      <c r="G60" s="384" t="s">
        <v>798</v>
      </c>
    </row>
    <row r="61" spans="1:7" ht="86.25" customHeight="1" x14ac:dyDescent="0.3">
      <c r="A61" s="385" t="s">
        <v>265</v>
      </c>
      <c r="B61" s="276" t="s">
        <v>183</v>
      </c>
      <c r="C61" s="276" t="s">
        <v>349</v>
      </c>
      <c r="D61" s="276" t="s">
        <v>799</v>
      </c>
      <c r="E61" s="276" t="s">
        <v>800</v>
      </c>
      <c r="F61" s="276" t="s">
        <v>801</v>
      </c>
      <c r="G61" s="276" t="s">
        <v>802</v>
      </c>
    </row>
    <row r="62" spans="1:7" ht="37.5" customHeight="1" x14ac:dyDescent="0.3">
      <c r="A62" s="385" t="s">
        <v>266</v>
      </c>
      <c r="B62" s="276" t="s">
        <v>184</v>
      </c>
      <c r="C62" s="276" t="s">
        <v>349</v>
      </c>
      <c r="D62" s="276" t="s">
        <v>803</v>
      </c>
      <c r="E62" s="276" t="s">
        <v>804</v>
      </c>
      <c r="F62" s="276" t="s">
        <v>805</v>
      </c>
      <c r="G62" s="276" t="s">
        <v>806</v>
      </c>
    </row>
    <row r="63" spans="1:7" ht="53.25" customHeight="1" x14ac:dyDescent="0.3">
      <c r="A63" s="383" t="s">
        <v>267</v>
      </c>
      <c r="B63" s="276" t="s">
        <v>46</v>
      </c>
      <c r="C63" s="276" t="s">
        <v>350</v>
      </c>
      <c r="D63" s="276" t="s">
        <v>807</v>
      </c>
      <c r="E63" s="276" t="s">
        <v>808</v>
      </c>
      <c r="F63" s="276" t="s">
        <v>809</v>
      </c>
      <c r="G63" s="276" t="s">
        <v>810</v>
      </c>
    </row>
    <row r="64" spans="1:7" ht="93.75" customHeight="1" x14ac:dyDescent="0.3">
      <c r="A64" s="383" t="s">
        <v>45</v>
      </c>
      <c r="B64" s="276" t="s">
        <v>48</v>
      </c>
      <c r="C64" s="276"/>
      <c r="D64" s="276"/>
      <c r="E64" s="276" t="s">
        <v>811</v>
      </c>
      <c r="F64" s="276" t="s">
        <v>812</v>
      </c>
      <c r="G64" s="276" t="s">
        <v>813</v>
      </c>
    </row>
    <row r="65" spans="1:7" ht="49.5" customHeight="1" x14ac:dyDescent="0.3">
      <c r="A65" s="383" t="s">
        <v>268</v>
      </c>
      <c r="B65" s="276" t="s">
        <v>49</v>
      </c>
      <c r="C65" s="276" t="s">
        <v>349</v>
      </c>
      <c r="D65" s="276" t="s">
        <v>814</v>
      </c>
      <c r="E65" s="384" t="s">
        <v>815</v>
      </c>
      <c r="F65" s="276" t="s">
        <v>816</v>
      </c>
      <c r="G65" s="384" t="s">
        <v>817</v>
      </c>
    </row>
    <row r="66" spans="1:7" ht="93.75" customHeight="1" x14ac:dyDescent="0.3">
      <c r="A66" s="383" t="s">
        <v>47</v>
      </c>
      <c r="B66" s="276" t="s">
        <v>50</v>
      </c>
      <c r="C66" s="276"/>
      <c r="D66" s="276"/>
      <c r="E66" s="276" t="s">
        <v>818</v>
      </c>
      <c r="F66" s="276" t="s">
        <v>819</v>
      </c>
      <c r="G66" s="276" t="s">
        <v>820</v>
      </c>
    </row>
    <row r="67" spans="1:7" ht="42" customHeight="1" x14ac:dyDescent="0.3">
      <c r="A67" s="383" t="s">
        <v>269</v>
      </c>
      <c r="B67" s="276" t="s">
        <v>416</v>
      </c>
      <c r="C67" s="276" t="s">
        <v>347</v>
      </c>
      <c r="D67" s="276" t="s">
        <v>821</v>
      </c>
      <c r="E67" s="276" t="s">
        <v>822</v>
      </c>
      <c r="F67" s="276" t="s">
        <v>823</v>
      </c>
      <c r="G67" s="276" t="s">
        <v>824</v>
      </c>
    </row>
    <row r="68" spans="1:7" ht="46.5" customHeight="1" x14ac:dyDescent="0.3">
      <c r="A68" s="383" t="s">
        <v>33</v>
      </c>
      <c r="B68" s="276" t="s">
        <v>50</v>
      </c>
      <c r="C68" s="276"/>
      <c r="D68" s="276"/>
      <c r="E68" s="276" t="s">
        <v>818</v>
      </c>
      <c r="F68" s="276" t="s">
        <v>825</v>
      </c>
      <c r="G68" s="276" t="s">
        <v>820</v>
      </c>
    </row>
    <row r="69" spans="1:7" ht="37.5" customHeight="1" x14ac:dyDescent="0.3">
      <c r="A69" s="383" t="s">
        <v>436</v>
      </c>
      <c r="B69" s="276" t="s">
        <v>35</v>
      </c>
      <c r="C69" s="276" t="s">
        <v>347</v>
      </c>
      <c r="D69" s="276"/>
      <c r="E69" s="276" t="s">
        <v>826</v>
      </c>
      <c r="F69" s="276" t="s">
        <v>827</v>
      </c>
      <c r="G69" s="276" t="s">
        <v>828</v>
      </c>
    </row>
    <row r="70" spans="1:7" ht="37.5" customHeight="1" x14ac:dyDescent="0.3">
      <c r="A70" s="389" t="s">
        <v>270</v>
      </c>
      <c r="B70" s="390" t="s">
        <v>185</v>
      </c>
      <c r="C70" s="390" t="s">
        <v>347</v>
      </c>
      <c r="D70" s="390" t="s">
        <v>829</v>
      </c>
      <c r="E70" s="390" t="s">
        <v>1406</v>
      </c>
      <c r="F70" s="396" t="s">
        <v>1407</v>
      </c>
      <c r="G70" s="390" t="s">
        <v>1408</v>
      </c>
    </row>
    <row r="71" spans="1:7" ht="56.25" customHeight="1" x14ac:dyDescent="0.3">
      <c r="A71" s="385" t="s">
        <v>271</v>
      </c>
      <c r="B71" s="276" t="s">
        <v>830</v>
      </c>
      <c r="C71" s="276" t="s">
        <v>347</v>
      </c>
      <c r="D71" s="276" t="s">
        <v>831</v>
      </c>
      <c r="E71" s="276" t="s">
        <v>832</v>
      </c>
      <c r="F71" s="276" t="s">
        <v>833</v>
      </c>
      <c r="G71" s="276" t="s">
        <v>834</v>
      </c>
    </row>
    <row r="72" spans="1:7" ht="55.5" customHeight="1" x14ac:dyDescent="0.3">
      <c r="A72" s="387" t="s">
        <v>51</v>
      </c>
      <c r="B72" s="388" t="s">
        <v>367</v>
      </c>
      <c r="C72" s="388"/>
      <c r="D72" s="388"/>
      <c r="E72" s="388" t="s">
        <v>835</v>
      </c>
      <c r="F72" s="388" t="s">
        <v>836</v>
      </c>
      <c r="G72" s="388" t="s">
        <v>837</v>
      </c>
    </row>
    <row r="73" spans="1:7" ht="37.5" customHeight="1" x14ac:dyDescent="0.3">
      <c r="A73" s="383" t="s">
        <v>52</v>
      </c>
      <c r="B73" s="276" t="s">
        <v>58</v>
      </c>
      <c r="C73" s="276"/>
      <c r="D73" s="276"/>
      <c r="E73" s="276" t="s">
        <v>838</v>
      </c>
      <c r="F73" s="276" t="s">
        <v>839</v>
      </c>
      <c r="G73" s="276" t="s">
        <v>840</v>
      </c>
    </row>
    <row r="74" spans="1:7" ht="135" customHeight="1" x14ac:dyDescent="0.3">
      <c r="A74" s="383" t="s">
        <v>273</v>
      </c>
      <c r="B74" s="276" t="s">
        <v>59</v>
      </c>
      <c r="C74" s="276" t="s">
        <v>350</v>
      </c>
      <c r="D74" s="276"/>
      <c r="E74" s="276" t="s">
        <v>841</v>
      </c>
      <c r="F74" s="276" t="s">
        <v>842</v>
      </c>
      <c r="G74" s="276" t="s">
        <v>843</v>
      </c>
    </row>
    <row r="75" spans="1:7" ht="55.5" customHeight="1" x14ac:dyDescent="0.3">
      <c r="A75" s="383" t="s">
        <v>274</v>
      </c>
      <c r="B75" s="276" t="s">
        <v>60</v>
      </c>
      <c r="C75" s="276" t="s">
        <v>400</v>
      </c>
      <c r="D75" s="276" t="s">
        <v>844</v>
      </c>
      <c r="E75" s="276" t="s">
        <v>845</v>
      </c>
      <c r="F75" s="276" t="s">
        <v>846</v>
      </c>
      <c r="G75" s="276" t="s">
        <v>847</v>
      </c>
    </row>
    <row r="76" spans="1:7" ht="52.5" customHeight="1" x14ac:dyDescent="0.3">
      <c r="A76" s="383" t="s">
        <v>53</v>
      </c>
      <c r="B76" s="276" t="s">
        <v>523</v>
      </c>
      <c r="C76" s="276"/>
      <c r="D76" s="276"/>
      <c r="E76" s="276" t="s">
        <v>848</v>
      </c>
      <c r="F76" s="276" t="s">
        <v>849</v>
      </c>
      <c r="G76" s="276" t="s">
        <v>850</v>
      </c>
    </row>
    <row r="77" spans="1:7" ht="70.5" customHeight="1" x14ac:dyDescent="0.3">
      <c r="A77" s="383" t="s">
        <v>437</v>
      </c>
      <c r="B77" s="276" t="s">
        <v>61</v>
      </c>
      <c r="C77" s="276"/>
      <c r="D77" s="276"/>
      <c r="E77" s="276" t="s">
        <v>851</v>
      </c>
      <c r="F77" s="276" t="s">
        <v>852</v>
      </c>
      <c r="G77" s="276" t="s">
        <v>853</v>
      </c>
    </row>
    <row r="78" spans="1:7" ht="49.5" customHeight="1" x14ac:dyDescent="0.3">
      <c r="A78" s="385" t="s">
        <v>275</v>
      </c>
      <c r="B78" s="276" t="s">
        <v>187</v>
      </c>
      <c r="C78" s="276" t="s">
        <v>350</v>
      </c>
      <c r="D78" s="276" t="s">
        <v>854</v>
      </c>
      <c r="E78" s="276" t="s">
        <v>855</v>
      </c>
      <c r="F78" s="276" t="s">
        <v>856</v>
      </c>
      <c r="G78" s="276" t="s">
        <v>857</v>
      </c>
    </row>
    <row r="79" spans="1:7" ht="93.75" customHeight="1" x14ac:dyDescent="0.3">
      <c r="A79" s="385" t="s">
        <v>276</v>
      </c>
      <c r="B79" s="276" t="s">
        <v>404</v>
      </c>
      <c r="C79" s="276" t="s">
        <v>350</v>
      </c>
      <c r="D79" s="276" t="s">
        <v>858</v>
      </c>
      <c r="E79" s="276" t="s">
        <v>859</v>
      </c>
      <c r="F79" s="276" t="s">
        <v>860</v>
      </c>
      <c r="G79" s="276" t="s">
        <v>861</v>
      </c>
    </row>
    <row r="80" spans="1:7" ht="56.25" customHeight="1" x14ac:dyDescent="0.3">
      <c r="A80" s="385" t="s">
        <v>405</v>
      </c>
      <c r="B80" s="276" t="s">
        <v>403</v>
      </c>
      <c r="C80" s="276" t="s">
        <v>350</v>
      </c>
      <c r="D80" s="276" t="s">
        <v>862</v>
      </c>
      <c r="E80" s="276" t="s">
        <v>863</v>
      </c>
      <c r="F80" s="276" t="s">
        <v>864</v>
      </c>
      <c r="G80" s="276" t="s">
        <v>865</v>
      </c>
    </row>
    <row r="81" spans="1:7" ht="84.75" customHeight="1" x14ac:dyDescent="0.3">
      <c r="A81" s="383" t="s">
        <v>54</v>
      </c>
      <c r="B81" s="276" t="s">
        <v>62</v>
      </c>
      <c r="C81" s="276"/>
      <c r="D81" s="276"/>
      <c r="E81" s="276" t="s">
        <v>866</v>
      </c>
      <c r="F81" s="384" t="s">
        <v>867</v>
      </c>
      <c r="G81" s="276" t="s">
        <v>868</v>
      </c>
    </row>
    <row r="82" spans="1:7" ht="48" customHeight="1" x14ac:dyDescent="0.3">
      <c r="A82" s="383" t="s">
        <v>277</v>
      </c>
      <c r="B82" s="276" t="s">
        <v>63</v>
      </c>
      <c r="C82" s="276" t="s">
        <v>350</v>
      </c>
      <c r="D82" s="276" t="s">
        <v>869</v>
      </c>
      <c r="E82" s="276" t="s">
        <v>870</v>
      </c>
      <c r="F82" s="276" t="s">
        <v>871</v>
      </c>
      <c r="G82" s="276" t="s">
        <v>872</v>
      </c>
    </row>
    <row r="83" spans="1:7" ht="56.25" customHeight="1" x14ac:dyDescent="0.3">
      <c r="A83" s="383" t="s">
        <v>55</v>
      </c>
      <c r="B83" s="276" t="s">
        <v>873</v>
      </c>
      <c r="C83" s="276" t="s">
        <v>350</v>
      </c>
      <c r="D83" s="276"/>
      <c r="E83" s="276" t="s">
        <v>874</v>
      </c>
      <c r="F83" s="276" t="s">
        <v>875</v>
      </c>
      <c r="G83" s="276" t="s">
        <v>876</v>
      </c>
    </row>
    <row r="84" spans="1:7" ht="78.75" customHeight="1" x14ac:dyDescent="0.3">
      <c r="A84" s="383" t="s">
        <v>438</v>
      </c>
      <c r="B84" s="276" t="s">
        <v>65</v>
      </c>
      <c r="C84" s="276" t="s">
        <v>350</v>
      </c>
      <c r="D84" s="276"/>
      <c r="E84" s="276" t="s">
        <v>877</v>
      </c>
      <c r="F84" s="276" t="s">
        <v>878</v>
      </c>
      <c r="G84" s="276" t="s">
        <v>879</v>
      </c>
    </row>
    <row r="85" spans="1:7" ht="72" customHeight="1" x14ac:dyDescent="0.3">
      <c r="A85" s="385" t="s">
        <v>278</v>
      </c>
      <c r="B85" s="276" t="s">
        <v>188</v>
      </c>
      <c r="C85" s="276" t="s">
        <v>350</v>
      </c>
      <c r="D85" s="276" t="s">
        <v>880</v>
      </c>
      <c r="E85" s="276" t="s">
        <v>881</v>
      </c>
      <c r="F85" s="276" t="s">
        <v>882</v>
      </c>
      <c r="G85" s="276" t="s">
        <v>883</v>
      </c>
    </row>
    <row r="86" spans="1:7" ht="82.5" customHeight="1" x14ac:dyDescent="0.3">
      <c r="A86" s="383" t="s">
        <v>439</v>
      </c>
      <c r="B86" s="276" t="s">
        <v>66</v>
      </c>
      <c r="C86" s="276"/>
      <c r="D86" s="276"/>
      <c r="E86" s="276" t="s">
        <v>884</v>
      </c>
      <c r="F86" s="276" t="s">
        <v>885</v>
      </c>
      <c r="G86" s="276" t="s">
        <v>886</v>
      </c>
    </row>
    <row r="87" spans="1:7" ht="71.25" customHeight="1" x14ac:dyDescent="0.3">
      <c r="A87" s="385" t="s">
        <v>279</v>
      </c>
      <c r="B87" s="276" t="s">
        <v>190</v>
      </c>
      <c r="C87" s="276" t="s">
        <v>350</v>
      </c>
      <c r="D87" s="276" t="s">
        <v>887</v>
      </c>
      <c r="E87" s="276" t="s">
        <v>888</v>
      </c>
      <c r="F87" s="276" t="s">
        <v>889</v>
      </c>
      <c r="G87" s="276" t="s">
        <v>890</v>
      </c>
    </row>
    <row r="88" spans="1:7" ht="37.5" customHeight="1" x14ac:dyDescent="0.3">
      <c r="A88" s="385" t="s">
        <v>280</v>
      </c>
      <c r="B88" s="276" t="s">
        <v>191</v>
      </c>
      <c r="C88" s="276" t="s">
        <v>350</v>
      </c>
      <c r="D88" s="276" t="s">
        <v>891</v>
      </c>
      <c r="E88" s="276" t="s">
        <v>892</v>
      </c>
      <c r="F88" s="276" t="s">
        <v>893</v>
      </c>
      <c r="G88" s="276" t="s">
        <v>894</v>
      </c>
    </row>
    <row r="89" spans="1:7" ht="69" customHeight="1" x14ac:dyDescent="0.3">
      <c r="A89" s="398" t="s">
        <v>1244</v>
      </c>
      <c r="B89" s="390" t="s">
        <v>1245</v>
      </c>
      <c r="C89" s="390" t="s">
        <v>350</v>
      </c>
      <c r="D89" s="390"/>
      <c r="E89" s="390" t="s">
        <v>1409</v>
      </c>
      <c r="F89" s="390" t="s">
        <v>1410</v>
      </c>
      <c r="G89" s="390" t="s">
        <v>1411</v>
      </c>
    </row>
    <row r="90" spans="1:7" ht="93.75" customHeight="1" x14ac:dyDescent="0.3">
      <c r="A90" s="276" t="s">
        <v>1366</v>
      </c>
      <c r="B90" s="276" t="s">
        <v>1367</v>
      </c>
      <c r="C90" s="276" t="s">
        <v>350</v>
      </c>
      <c r="D90" s="276"/>
      <c r="E90" s="276" t="s">
        <v>1412</v>
      </c>
      <c r="F90" s="276" t="s">
        <v>1413</v>
      </c>
      <c r="G90" s="276" t="s">
        <v>1414</v>
      </c>
    </row>
    <row r="91" spans="1:7" ht="62.25" customHeight="1" x14ac:dyDescent="0.3">
      <c r="A91" s="385" t="s">
        <v>1368</v>
      </c>
      <c r="B91" s="276" t="s">
        <v>1415</v>
      </c>
      <c r="C91" s="276" t="s">
        <v>350</v>
      </c>
      <c r="D91" s="276"/>
      <c r="E91" s="276" t="s">
        <v>1416</v>
      </c>
      <c r="F91" s="276" t="s">
        <v>1417</v>
      </c>
      <c r="G91" s="276" t="s">
        <v>1418</v>
      </c>
    </row>
    <row r="92" spans="1:7" ht="68.25" customHeight="1" x14ac:dyDescent="0.3">
      <c r="A92" s="383" t="s">
        <v>56</v>
      </c>
      <c r="B92" s="276" t="s">
        <v>67</v>
      </c>
      <c r="C92" s="276"/>
      <c r="D92" s="276"/>
      <c r="E92" s="276" t="s">
        <v>895</v>
      </c>
      <c r="F92" s="276" t="s">
        <v>896</v>
      </c>
      <c r="G92" s="276" t="s">
        <v>897</v>
      </c>
    </row>
    <row r="93" spans="1:7" ht="52.5" customHeight="1" x14ac:dyDescent="0.3">
      <c r="A93" s="398" t="s">
        <v>281</v>
      </c>
      <c r="B93" s="390" t="s">
        <v>68</v>
      </c>
      <c r="C93" s="390" t="s">
        <v>355</v>
      </c>
      <c r="D93" s="390" t="s">
        <v>898</v>
      </c>
      <c r="E93" s="390" t="s">
        <v>899</v>
      </c>
      <c r="F93" s="390" t="s">
        <v>900</v>
      </c>
      <c r="G93" s="390" t="s">
        <v>1419</v>
      </c>
    </row>
    <row r="94" spans="1:7" ht="18.75" customHeight="1" x14ac:dyDescent="0.3">
      <c r="A94" s="383" t="s">
        <v>57</v>
      </c>
      <c r="B94" s="276" t="s">
        <v>69</v>
      </c>
      <c r="C94" s="276"/>
      <c r="D94" s="276"/>
      <c r="E94" s="384" t="s">
        <v>901</v>
      </c>
      <c r="F94" s="276" t="s">
        <v>902</v>
      </c>
      <c r="G94" s="384" t="s">
        <v>903</v>
      </c>
    </row>
    <row r="95" spans="1:7" ht="37.5" customHeight="1" x14ac:dyDescent="0.3">
      <c r="A95" s="383" t="s">
        <v>282</v>
      </c>
      <c r="B95" s="276" t="s">
        <v>904</v>
      </c>
      <c r="C95" s="276" t="s">
        <v>355</v>
      </c>
      <c r="D95" s="276" t="s">
        <v>905</v>
      </c>
      <c r="E95" s="276" t="s">
        <v>906</v>
      </c>
      <c r="F95" s="276" t="s">
        <v>907</v>
      </c>
      <c r="G95" s="276" t="s">
        <v>908</v>
      </c>
    </row>
    <row r="96" spans="1:7" ht="75" customHeight="1" x14ac:dyDescent="0.3">
      <c r="A96" s="383" t="s">
        <v>283</v>
      </c>
      <c r="B96" s="276" t="s">
        <v>70</v>
      </c>
      <c r="C96" s="276" t="s">
        <v>350</v>
      </c>
      <c r="D96" s="276" t="s">
        <v>909</v>
      </c>
      <c r="E96" s="276" t="s">
        <v>910</v>
      </c>
      <c r="F96" s="276" t="s">
        <v>911</v>
      </c>
      <c r="G96" s="276" t="s">
        <v>912</v>
      </c>
    </row>
    <row r="97" spans="1:7" ht="75" customHeight="1" x14ac:dyDescent="0.3">
      <c r="A97" s="383" t="s">
        <v>462</v>
      </c>
      <c r="B97" s="276" t="s">
        <v>537</v>
      </c>
      <c r="C97" s="276" t="s">
        <v>350</v>
      </c>
      <c r="D97" s="276" t="s">
        <v>913</v>
      </c>
      <c r="E97" s="276" t="s">
        <v>914</v>
      </c>
      <c r="F97" s="276" t="s">
        <v>915</v>
      </c>
      <c r="G97" s="276" t="s">
        <v>916</v>
      </c>
    </row>
    <row r="98" spans="1:7" ht="56.25" customHeight="1" x14ac:dyDescent="0.3">
      <c r="A98" s="387" t="s">
        <v>71</v>
      </c>
      <c r="B98" s="388" t="s">
        <v>75</v>
      </c>
      <c r="C98" s="388"/>
      <c r="D98" s="388"/>
      <c r="E98" s="388" t="s">
        <v>917</v>
      </c>
      <c r="F98" s="388" t="s">
        <v>918</v>
      </c>
      <c r="G98" s="388" t="s">
        <v>919</v>
      </c>
    </row>
    <row r="99" spans="1:7" ht="75" customHeight="1" x14ac:dyDescent="0.3">
      <c r="A99" s="383" t="s">
        <v>72</v>
      </c>
      <c r="B99" s="276" t="s">
        <v>76</v>
      </c>
      <c r="C99" s="276"/>
      <c r="D99" s="276"/>
      <c r="E99" s="276" t="s">
        <v>920</v>
      </c>
      <c r="F99" s="276" t="s">
        <v>921</v>
      </c>
      <c r="G99" s="276" t="s">
        <v>922</v>
      </c>
    </row>
    <row r="100" spans="1:7" ht="37.5" customHeight="1" x14ac:dyDescent="0.3">
      <c r="A100" s="383" t="s">
        <v>285</v>
      </c>
      <c r="B100" s="276" t="s">
        <v>77</v>
      </c>
      <c r="C100" s="276" t="s">
        <v>347</v>
      </c>
      <c r="D100" s="276" t="s">
        <v>923</v>
      </c>
      <c r="E100" s="276" t="s">
        <v>924</v>
      </c>
      <c r="F100" s="276" t="s">
        <v>928</v>
      </c>
      <c r="G100" s="276" t="s">
        <v>925</v>
      </c>
    </row>
    <row r="101" spans="1:7" ht="37.5" customHeight="1" x14ac:dyDescent="0.3">
      <c r="A101" s="383" t="s">
        <v>286</v>
      </c>
      <c r="B101" s="276" t="s">
        <v>78</v>
      </c>
      <c r="C101" s="276" t="s">
        <v>347</v>
      </c>
      <c r="D101" s="276" t="s">
        <v>926</v>
      </c>
      <c r="E101" s="276" t="s">
        <v>927</v>
      </c>
      <c r="F101" s="276" t="s">
        <v>928</v>
      </c>
      <c r="G101" s="276" t="s">
        <v>929</v>
      </c>
    </row>
    <row r="102" spans="1:7" ht="63.75" customHeight="1" x14ac:dyDescent="0.3">
      <c r="A102" s="383" t="s">
        <v>440</v>
      </c>
      <c r="B102" s="276" t="s">
        <v>79</v>
      </c>
      <c r="C102" s="276" t="s">
        <v>347</v>
      </c>
      <c r="D102" s="276"/>
      <c r="E102" s="276" t="s">
        <v>930</v>
      </c>
      <c r="F102" s="276" t="s">
        <v>1420</v>
      </c>
      <c r="G102" s="276" t="s">
        <v>931</v>
      </c>
    </row>
    <row r="103" spans="1:7" ht="37.5" customHeight="1" x14ac:dyDescent="0.3">
      <c r="A103" s="385" t="s">
        <v>287</v>
      </c>
      <c r="B103" s="276" t="s">
        <v>192</v>
      </c>
      <c r="C103" s="276" t="s">
        <v>347</v>
      </c>
      <c r="D103" s="276" t="s">
        <v>932</v>
      </c>
      <c r="E103" s="276" t="s">
        <v>933</v>
      </c>
      <c r="F103" s="276" t="s">
        <v>934</v>
      </c>
      <c r="G103" s="384" t="s">
        <v>1421</v>
      </c>
    </row>
    <row r="104" spans="1:7" ht="37.5" customHeight="1" x14ac:dyDescent="0.3">
      <c r="A104" s="385" t="s">
        <v>288</v>
      </c>
      <c r="B104" s="276" t="s">
        <v>193</v>
      </c>
      <c r="C104" s="276" t="s">
        <v>347</v>
      </c>
      <c r="D104" s="276" t="s">
        <v>935</v>
      </c>
      <c r="E104" s="276" t="s">
        <v>936</v>
      </c>
      <c r="F104" s="276" t="s">
        <v>937</v>
      </c>
      <c r="G104" s="276" t="s">
        <v>938</v>
      </c>
    </row>
    <row r="105" spans="1:7" ht="56.25" customHeight="1" x14ac:dyDescent="0.3">
      <c r="A105" s="383" t="s">
        <v>441</v>
      </c>
      <c r="B105" s="276" t="s">
        <v>543</v>
      </c>
      <c r="C105" s="276" t="s">
        <v>347</v>
      </c>
      <c r="D105" s="276"/>
      <c r="E105" s="276" t="s">
        <v>543</v>
      </c>
      <c r="F105" s="276" t="s">
        <v>939</v>
      </c>
      <c r="G105" s="276" t="s">
        <v>1422</v>
      </c>
    </row>
    <row r="106" spans="1:7" ht="56.25" customHeight="1" x14ac:dyDescent="0.3">
      <c r="A106" s="385" t="s">
        <v>289</v>
      </c>
      <c r="B106" s="276" t="s">
        <v>194</v>
      </c>
      <c r="C106" s="276" t="s">
        <v>347</v>
      </c>
      <c r="D106" s="276" t="s">
        <v>940</v>
      </c>
      <c r="E106" s="276" t="s">
        <v>941</v>
      </c>
      <c r="F106" s="276" t="s">
        <v>942</v>
      </c>
      <c r="G106" s="276" t="s">
        <v>943</v>
      </c>
    </row>
    <row r="107" spans="1:7" ht="18.75" customHeight="1" x14ac:dyDescent="0.3">
      <c r="A107" s="385" t="s">
        <v>290</v>
      </c>
      <c r="B107" s="276" t="s">
        <v>195</v>
      </c>
      <c r="C107" s="276" t="s">
        <v>347</v>
      </c>
      <c r="D107" s="276" t="s">
        <v>944</v>
      </c>
      <c r="E107" s="276" t="s">
        <v>945</v>
      </c>
      <c r="F107" s="276" t="s">
        <v>946</v>
      </c>
      <c r="G107" s="276" t="s">
        <v>947</v>
      </c>
    </row>
    <row r="108" spans="1:7" ht="62.25" customHeight="1" x14ac:dyDescent="0.3">
      <c r="A108" s="383" t="s">
        <v>291</v>
      </c>
      <c r="B108" s="276" t="s">
        <v>81</v>
      </c>
      <c r="C108" s="276" t="s">
        <v>347</v>
      </c>
      <c r="D108" s="276" t="s">
        <v>948</v>
      </c>
      <c r="E108" s="384" t="s">
        <v>949</v>
      </c>
      <c r="F108" s="276" t="s">
        <v>950</v>
      </c>
      <c r="G108" s="276" t="s">
        <v>951</v>
      </c>
    </row>
    <row r="109" spans="1:7" ht="75" customHeight="1" x14ac:dyDescent="0.3">
      <c r="A109" s="399" t="s">
        <v>1295</v>
      </c>
      <c r="B109" s="396" t="s">
        <v>1296</v>
      </c>
      <c r="C109" s="396" t="s">
        <v>347</v>
      </c>
      <c r="D109" s="396"/>
      <c r="E109" s="396" t="s">
        <v>1423</v>
      </c>
      <c r="F109" s="396" t="s">
        <v>1424</v>
      </c>
      <c r="G109" s="396" t="s">
        <v>1425</v>
      </c>
    </row>
    <row r="110" spans="1:7" ht="56.25" customHeight="1" x14ac:dyDescent="0.3">
      <c r="A110" s="399" t="s">
        <v>1426</v>
      </c>
      <c r="B110" s="396" t="s">
        <v>1344</v>
      </c>
      <c r="C110" s="396" t="s">
        <v>347</v>
      </c>
      <c r="D110" s="396"/>
      <c r="E110" s="396" t="s">
        <v>1427</v>
      </c>
      <c r="F110" s="396" t="s">
        <v>1428</v>
      </c>
      <c r="G110" s="396" t="s">
        <v>1429</v>
      </c>
    </row>
    <row r="111" spans="1:7" ht="18.75" customHeight="1" x14ac:dyDescent="0.3">
      <c r="A111" s="383" t="s">
        <v>73</v>
      </c>
      <c r="B111" s="276" t="s">
        <v>82</v>
      </c>
      <c r="C111" s="276"/>
      <c r="D111" s="276"/>
      <c r="E111" s="276" t="s">
        <v>952</v>
      </c>
      <c r="F111" s="276" t="s">
        <v>953</v>
      </c>
      <c r="G111" s="276" t="s">
        <v>954</v>
      </c>
    </row>
    <row r="112" spans="1:7" ht="93.75" customHeight="1" x14ac:dyDescent="0.3">
      <c r="A112" s="383" t="s">
        <v>442</v>
      </c>
      <c r="B112" s="276" t="s">
        <v>83</v>
      </c>
      <c r="C112" s="276" t="s">
        <v>347</v>
      </c>
      <c r="D112" s="276"/>
      <c r="E112" s="276" t="s">
        <v>955</v>
      </c>
      <c r="F112" s="276" t="s">
        <v>956</v>
      </c>
      <c r="G112" s="276" t="s">
        <v>957</v>
      </c>
    </row>
    <row r="113" spans="1:7" ht="56.25" customHeight="1" x14ac:dyDescent="0.3">
      <c r="A113" s="385" t="s">
        <v>292</v>
      </c>
      <c r="B113" s="276" t="s">
        <v>196</v>
      </c>
      <c r="C113" s="276" t="s">
        <v>347</v>
      </c>
      <c r="D113" s="276" t="s">
        <v>958</v>
      </c>
      <c r="E113" s="276" t="s">
        <v>959</v>
      </c>
      <c r="F113" s="276" t="s">
        <v>960</v>
      </c>
      <c r="G113" s="276" t="s">
        <v>961</v>
      </c>
    </row>
    <row r="114" spans="1:7" ht="76.5" customHeight="1" x14ac:dyDescent="0.3">
      <c r="A114" s="385" t="s">
        <v>293</v>
      </c>
      <c r="B114" s="276" t="s">
        <v>197</v>
      </c>
      <c r="C114" s="276" t="s">
        <v>347</v>
      </c>
      <c r="D114" s="276" t="s">
        <v>962</v>
      </c>
      <c r="E114" s="276" t="s">
        <v>963</v>
      </c>
      <c r="F114" s="276" t="s">
        <v>964</v>
      </c>
      <c r="G114" s="276" t="s">
        <v>965</v>
      </c>
    </row>
    <row r="115" spans="1:7" ht="54.75" customHeight="1" x14ac:dyDescent="0.3">
      <c r="A115" s="383" t="s">
        <v>74</v>
      </c>
      <c r="B115" s="276" t="s">
        <v>84</v>
      </c>
      <c r="C115" s="276"/>
      <c r="D115" s="276"/>
      <c r="E115" s="276" t="s">
        <v>966</v>
      </c>
      <c r="F115" s="276" t="s">
        <v>967</v>
      </c>
      <c r="G115" s="276" t="s">
        <v>968</v>
      </c>
    </row>
    <row r="116" spans="1:7" ht="43.5" customHeight="1" x14ac:dyDescent="0.3">
      <c r="A116" s="383" t="s">
        <v>294</v>
      </c>
      <c r="B116" s="276" t="s">
        <v>85</v>
      </c>
      <c r="C116" s="276" t="s">
        <v>347</v>
      </c>
      <c r="D116" s="276" t="s">
        <v>969</v>
      </c>
      <c r="E116" s="276" t="s">
        <v>970</v>
      </c>
      <c r="F116" s="276" t="s">
        <v>971</v>
      </c>
      <c r="G116" s="276" t="s">
        <v>972</v>
      </c>
    </row>
    <row r="117" spans="1:7" s="165" customFormat="1" ht="131.25" customHeight="1" x14ac:dyDescent="0.25">
      <c r="A117" s="387" t="s">
        <v>86</v>
      </c>
      <c r="B117" s="388" t="s">
        <v>617</v>
      </c>
      <c r="C117" s="388"/>
      <c r="D117" s="388"/>
      <c r="E117" s="388" t="s">
        <v>973</v>
      </c>
      <c r="F117" s="388" t="s">
        <v>974</v>
      </c>
      <c r="G117" s="388" t="s">
        <v>975</v>
      </c>
    </row>
    <row r="118" spans="1:7" ht="112.5" customHeight="1" x14ac:dyDescent="0.3">
      <c r="A118" s="383" t="s">
        <v>87</v>
      </c>
      <c r="B118" s="276" t="s">
        <v>90</v>
      </c>
      <c r="C118" s="276"/>
      <c r="D118" s="276"/>
      <c r="E118" s="276" t="s">
        <v>976</v>
      </c>
      <c r="F118" s="276" t="s">
        <v>1430</v>
      </c>
      <c r="G118" s="276" t="s">
        <v>977</v>
      </c>
    </row>
    <row r="119" spans="1:7" ht="171" customHeight="1" x14ac:dyDescent="0.3">
      <c r="A119" s="383" t="s">
        <v>296</v>
      </c>
      <c r="B119" s="276" t="s">
        <v>552</v>
      </c>
      <c r="C119" s="276" t="s">
        <v>351</v>
      </c>
      <c r="D119" s="276" t="s">
        <v>978</v>
      </c>
      <c r="E119" s="276" t="s">
        <v>979</v>
      </c>
      <c r="F119" s="276" t="s">
        <v>1431</v>
      </c>
      <c r="G119" s="276" t="s">
        <v>980</v>
      </c>
    </row>
    <row r="120" spans="1:7" s="100" customFormat="1" ht="75" customHeight="1" x14ac:dyDescent="0.3">
      <c r="A120" s="383" t="s">
        <v>443</v>
      </c>
      <c r="B120" s="276" t="s">
        <v>92</v>
      </c>
      <c r="C120" s="276"/>
      <c r="D120" s="276"/>
      <c r="E120" s="276" t="s">
        <v>981</v>
      </c>
      <c r="F120" s="276" t="s">
        <v>1432</v>
      </c>
      <c r="G120" s="276" t="s">
        <v>1433</v>
      </c>
    </row>
    <row r="121" spans="1:7" ht="108.75" customHeight="1" x14ac:dyDescent="0.3">
      <c r="A121" s="385" t="s">
        <v>297</v>
      </c>
      <c r="B121" s="276" t="s">
        <v>198</v>
      </c>
      <c r="C121" s="276" t="s">
        <v>351</v>
      </c>
      <c r="D121" s="276" t="s">
        <v>982</v>
      </c>
      <c r="E121" s="276" t="s">
        <v>983</v>
      </c>
      <c r="F121" s="276" t="s">
        <v>984</v>
      </c>
      <c r="G121" s="276" t="s">
        <v>985</v>
      </c>
    </row>
    <row r="122" spans="1:7" s="100" customFormat="1" ht="69" customHeight="1" x14ac:dyDescent="0.3">
      <c r="A122" s="385" t="s">
        <v>298</v>
      </c>
      <c r="B122" s="276" t="s">
        <v>199</v>
      </c>
      <c r="C122" s="276" t="s">
        <v>351</v>
      </c>
      <c r="D122" s="276" t="s">
        <v>986</v>
      </c>
      <c r="E122" s="276" t="s">
        <v>987</v>
      </c>
      <c r="F122" s="384" t="s">
        <v>1434</v>
      </c>
      <c r="G122" s="276" t="s">
        <v>988</v>
      </c>
    </row>
    <row r="123" spans="1:7" ht="166.5" customHeight="1" x14ac:dyDescent="0.3">
      <c r="A123" s="383" t="s">
        <v>88</v>
      </c>
      <c r="B123" s="276" t="s">
        <v>989</v>
      </c>
      <c r="C123" s="276"/>
      <c r="D123" s="276"/>
      <c r="E123" s="384" t="s">
        <v>990</v>
      </c>
      <c r="F123" s="276" t="s">
        <v>991</v>
      </c>
      <c r="G123" s="276" t="s">
        <v>992</v>
      </c>
    </row>
    <row r="124" spans="1:7" ht="102" customHeight="1" x14ac:dyDescent="0.3">
      <c r="A124" s="383" t="s">
        <v>444</v>
      </c>
      <c r="B124" s="276" t="s">
        <v>93</v>
      </c>
      <c r="C124" s="276"/>
      <c r="D124" s="276"/>
      <c r="E124" s="384" t="s">
        <v>993</v>
      </c>
      <c r="F124" s="276" t="s">
        <v>991</v>
      </c>
      <c r="G124" s="384" t="s">
        <v>994</v>
      </c>
    </row>
    <row r="125" spans="1:7" ht="56.25" customHeight="1" x14ac:dyDescent="0.3">
      <c r="A125" s="385" t="s">
        <v>299</v>
      </c>
      <c r="B125" s="276" t="s">
        <v>200</v>
      </c>
      <c r="C125" s="276" t="s">
        <v>351</v>
      </c>
      <c r="D125" s="276" t="s">
        <v>995</v>
      </c>
      <c r="E125" s="276" t="s">
        <v>996</v>
      </c>
      <c r="F125" s="276" t="s">
        <v>1435</v>
      </c>
      <c r="G125" s="276" t="s">
        <v>997</v>
      </c>
    </row>
    <row r="126" spans="1:7" ht="87.75" customHeight="1" x14ac:dyDescent="0.3">
      <c r="A126" s="392" t="s">
        <v>299</v>
      </c>
      <c r="B126" s="384" t="s">
        <v>361</v>
      </c>
      <c r="C126" s="384" t="s">
        <v>351</v>
      </c>
      <c r="D126" s="384"/>
      <c r="E126" s="384" t="s">
        <v>996</v>
      </c>
      <c r="F126" s="384" t="s">
        <v>1436</v>
      </c>
      <c r="G126" s="384" t="s">
        <v>997</v>
      </c>
    </row>
    <row r="127" spans="1:7" ht="18.75" customHeight="1" x14ac:dyDescent="0.3">
      <c r="A127" s="392" t="s">
        <v>300</v>
      </c>
      <c r="B127" s="384" t="s">
        <v>201</v>
      </c>
      <c r="C127" s="384" t="s">
        <v>351</v>
      </c>
      <c r="D127" s="384" t="s">
        <v>998</v>
      </c>
      <c r="E127" s="384" t="s">
        <v>999</v>
      </c>
      <c r="F127" s="384" t="s">
        <v>1000</v>
      </c>
      <c r="G127" s="384" t="s">
        <v>1001</v>
      </c>
    </row>
    <row r="128" spans="1:7" ht="74.25" customHeight="1" x14ac:dyDescent="0.3">
      <c r="A128" s="392" t="s">
        <v>300</v>
      </c>
      <c r="B128" s="384" t="s">
        <v>362</v>
      </c>
      <c r="C128" s="384" t="s">
        <v>351</v>
      </c>
      <c r="D128" s="384"/>
      <c r="E128" s="384" t="s">
        <v>999</v>
      </c>
      <c r="F128" s="384" t="s">
        <v>1002</v>
      </c>
      <c r="G128" s="384" t="s">
        <v>1001</v>
      </c>
    </row>
    <row r="129" spans="1:7" ht="113.25" customHeight="1" x14ac:dyDescent="0.3">
      <c r="A129" s="383" t="s">
        <v>89</v>
      </c>
      <c r="B129" s="276" t="s">
        <v>94</v>
      </c>
      <c r="C129" s="276"/>
      <c r="D129" s="276"/>
      <c r="E129" s="276" t="s">
        <v>1004</v>
      </c>
      <c r="F129" s="276" t="s">
        <v>1005</v>
      </c>
      <c r="G129" s="276" t="s">
        <v>1006</v>
      </c>
    </row>
    <row r="130" spans="1:7" ht="103.5" customHeight="1" x14ac:dyDescent="0.3">
      <c r="A130" s="383" t="s">
        <v>302</v>
      </c>
      <c r="B130" s="276" t="s">
        <v>95</v>
      </c>
      <c r="C130" s="276" t="s">
        <v>351</v>
      </c>
      <c r="D130" s="276" t="s">
        <v>1007</v>
      </c>
      <c r="E130" s="276" t="s">
        <v>1008</v>
      </c>
      <c r="F130" s="276" t="s">
        <v>1009</v>
      </c>
      <c r="G130" s="276" t="s">
        <v>1010</v>
      </c>
    </row>
    <row r="131" spans="1:7" ht="121.5" customHeight="1" x14ac:dyDescent="0.3">
      <c r="A131" s="383" t="s">
        <v>303</v>
      </c>
      <c r="B131" s="276" t="s">
        <v>96</v>
      </c>
      <c r="C131" s="276" t="s">
        <v>351</v>
      </c>
      <c r="D131" s="276" t="s">
        <v>1011</v>
      </c>
      <c r="E131" s="276" t="s">
        <v>1012</v>
      </c>
      <c r="F131" s="276" t="s">
        <v>1013</v>
      </c>
      <c r="G131" s="276" t="s">
        <v>1014</v>
      </c>
    </row>
    <row r="132" spans="1:7" ht="103.5" customHeight="1" x14ac:dyDescent="0.3">
      <c r="A132" s="387" t="s">
        <v>97</v>
      </c>
      <c r="B132" s="388" t="s">
        <v>98</v>
      </c>
      <c r="C132" s="388"/>
      <c r="D132" s="388"/>
      <c r="E132" s="388" t="s">
        <v>1015</v>
      </c>
      <c r="F132" s="388" t="s">
        <v>1016</v>
      </c>
      <c r="G132" s="388" t="s">
        <v>1017</v>
      </c>
    </row>
    <row r="133" spans="1:7" ht="75" customHeight="1" x14ac:dyDescent="0.3">
      <c r="A133" s="383" t="s">
        <v>99</v>
      </c>
      <c r="B133" s="276" t="s">
        <v>100</v>
      </c>
      <c r="C133" s="276"/>
      <c r="D133" s="276"/>
      <c r="E133" s="276" t="s">
        <v>1018</v>
      </c>
      <c r="F133" s="276" t="s">
        <v>1019</v>
      </c>
      <c r="G133" s="276" t="s">
        <v>1020</v>
      </c>
    </row>
    <row r="134" spans="1:7" ht="47.25" customHeight="1" x14ac:dyDescent="0.3">
      <c r="A134" s="383" t="s">
        <v>305</v>
      </c>
      <c r="B134" s="276" t="s">
        <v>101</v>
      </c>
      <c r="C134" s="276" t="s">
        <v>348</v>
      </c>
      <c r="D134" s="276" t="s">
        <v>1021</v>
      </c>
      <c r="E134" s="276" t="s">
        <v>1022</v>
      </c>
      <c r="F134" s="276" t="s">
        <v>1023</v>
      </c>
      <c r="G134" s="276" t="s">
        <v>1024</v>
      </c>
    </row>
    <row r="135" spans="1:7" ht="82.5" customHeight="1" x14ac:dyDescent="0.3">
      <c r="A135" s="383" t="s">
        <v>445</v>
      </c>
      <c r="B135" s="276" t="s">
        <v>102</v>
      </c>
      <c r="C135" s="276" t="s">
        <v>348</v>
      </c>
      <c r="D135" s="276" t="s">
        <v>1025</v>
      </c>
      <c r="E135" s="276" t="s">
        <v>1026</v>
      </c>
      <c r="F135" s="276" t="s">
        <v>1027</v>
      </c>
      <c r="G135" s="276" t="s">
        <v>1028</v>
      </c>
    </row>
    <row r="136" spans="1:7" ht="131.25" customHeight="1" x14ac:dyDescent="0.3">
      <c r="A136" s="383" t="s">
        <v>306</v>
      </c>
      <c r="B136" s="276" t="s">
        <v>103</v>
      </c>
      <c r="C136" s="276" t="s">
        <v>348</v>
      </c>
      <c r="D136" s="276" t="s">
        <v>1029</v>
      </c>
      <c r="E136" s="276" t="s">
        <v>1030</v>
      </c>
      <c r="F136" s="276" t="s">
        <v>1031</v>
      </c>
      <c r="G136" s="276" t="s">
        <v>1032</v>
      </c>
    </row>
    <row r="137" spans="1:7" ht="317.25" customHeight="1" x14ac:dyDescent="0.3">
      <c r="A137" s="383" t="s">
        <v>307</v>
      </c>
      <c r="B137" s="276" t="s">
        <v>104</v>
      </c>
      <c r="C137" s="276" t="s">
        <v>348</v>
      </c>
      <c r="D137" s="276" t="s">
        <v>1033</v>
      </c>
      <c r="E137" s="276" t="s">
        <v>1034</v>
      </c>
      <c r="F137" s="276" t="s">
        <v>1035</v>
      </c>
      <c r="G137" s="276" t="s">
        <v>1036</v>
      </c>
    </row>
    <row r="138" spans="1:7" ht="112.5" customHeight="1" x14ac:dyDescent="0.3">
      <c r="A138" s="383" t="s">
        <v>105</v>
      </c>
      <c r="B138" s="276" t="s">
        <v>106</v>
      </c>
      <c r="C138" s="276"/>
      <c r="D138" s="276"/>
      <c r="E138" s="276" t="s">
        <v>1037</v>
      </c>
      <c r="F138" s="276" t="s">
        <v>1038</v>
      </c>
      <c r="G138" s="276" t="s">
        <v>1039</v>
      </c>
    </row>
    <row r="139" spans="1:7" ht="37.5" customHeight="1" x14ac:dyDescent="0.3">
      <c r="A139" s="383" t="s">
        <v>308</v>
      </c>
      <c r="B139" s="276" t="s">
        <v>107</v>
      </c>
      <c r="C139" s="276" t="s">
        <v>348</v>
      </c>
      <c r="D139" s="276" t="s">
        <v>1040</v>
      </c>
      <c r="E139" s="276" t="s">
        <v>1041</v>
      </c>
      <c r="F139" s="276" t="s">
        <v>1042</v>
      </c>
      <c r="G139" s="276" t="s">
        <v>1043</v>
      </c>
    </row>
    <row r="140" spans="1:7" ht="282.75" customHeight="1" x14ac:dyDescent="0.3">
      <c r="A140" s="383" t="s">
        <v>309</v>
      </c>
      <c r="B140" s="276" t="s">
        <v>109</v>
      </c>
      <c r="C140" s="276" t="s">
        <v>348</v>
      </c>
      <c r="D140" s="276" t="s">
        <v>1044</v>
      </c>
      <c r="E140" s="276" t="s">
        <v>1045</v>
      </c>
      <c r="F140" s="276" t="s">
        <v>1046</v>
      </c>
      <c r="G140" s="276" t="s">
        <v>1047</v>
      </c>
    </row>
    <row r="141" spans="1:7" ht="37.5" customHeight="1" x14ac:dyDescent="0.3">
      <c r="A141" s="383" t="s">
        <v>310</v>
      </c>
      <c r="B141" s="276" t="s">
        <v>572</v>
      </c>
      <c r="C141" s="276" t="s">
        <v>348</v>
      </c>
      <c r="D141" s="276" t="s">
        <v>1048</v>
      </c>
      <c r="E141" s="276" t="s">
        <v>1049</v>
      </c>
      <c r="F141" s="276" t="s">
        <v>1050</v>
      </c>
      <c r="G141" s="276" t="s">
        <v>1051</v>
      </c>
    </row>
    <row r="142" spans="1:7" ht="56.25" customHeight="1" x14ac:dyDescent="0.3">
      <c r="A142" s="383" t="s">
        <v>311</v>
      </c>
      <c r="B142" s="276" t="s">
        <v>111</v>
      </c>
      <c r="C142" s="276" t="s">
        <v>348</v>
      </c>
      <c r="D142" s="276" t="s">
        <v>1052</v>
      </c>
      <c r="E142" s="276" t="s">
        <v>1053</v>
      </c>
      <c r="F142" s="276" t="s">
        <v>1054</v>
      </c>
      <c r="G142" s="276" t="s">
        <v>1055</v>
      </c>
    </row>
    <row r="143" spans="1:7" ht="56.25" customHeight="1" x14ac:dyDescent="0.3">
      <c r="A143" s="383" t="s">
        <v>108</v>
      </c>
      <c r="B143" s="276" t="s">
        <v>112</v>
      </c>
      <c r="C143" s="276"/>
      <c r="D143" s="276"/>
      <c r="E143" s="393" t="s">
        <v>1056</v>
      </c>
      <c r="F143" s="276" t="s">
        <v>1057</v>
      </c>
      <c r="G143" s="384" t="s">
        <v>1058</v>
      </c>
    </row>
    <row r="144" spans="1:7" ht="344.25" customHeight="1" x14ac:dyDescent="0.3">
      <c r="A144" s="383" t="s">
        <v>446</v>
      </c>
      <c r="B144" s="276" t="s">
        <v>113</v>
      </c>
      <c r="C144" s="276"/>
      <c r="D144" s="276"/>
      <c r="E144" s="276" t="s">
        <v>1059</v>
      </c>
      <c r="F144" s="276" t="s">
        <v>1060</v>
      </c>
      <c r="G144" s="276" t="s">
        <v>1061</v>
      </c>
    </row>
    <row r="145" spans="1:7" ht="120.75" customHeight="1" x14ac:dyDescent="0.3">
      <c r="A145" s="385" t="s">
        <v>447</v>
      </c>
      <c r="B145" s="276" t="s">
        <v>575</v>
      </c>
      <c r="C145" s="276" t="s">
        <v>348</v>
      </c>
      <c r="D145" s="276" t="s">
        <v>1062</v>
      </c>
      <c r="E145" s="276" t="s">
        <v>1063</v>
      </c>
      <c r="F145" s="276" t="s">
        <v>1064</v>
      </c>
      <c r="G145" s="276" t="s">
        <v>1065</v>
      </c>
    </row>
    <row r="146" spans="1:7" ht="79.5" customHeight="1" x14ac:dyDescent="0.3">
      <c r="A146" s="385" t="s">
        <v>312</v>
      </c>
      <c r="B146" s="276" t="s">
        <v>204</v>
      </c>
      <c r="C146" s="276" t="s">
        <v>348</v>
      </c>
      <c r="D146" s="276" t="s">
        <v>1066</v>
      </c>
      <c r="E146" s="276" t="s">
        <v>1437</v>
      </c>
      <c r="F146" s="276" t="s">
        <v>1067</v>
      </c>
      <c r="G146" s="276" t="s">
        <v>1438</v>
      </c>
    </row>
    <row r="147" spans="1:7" ht="204" customHeight="1" x14ac:dyDescent="0.3">
      <c r="A147" s="383" t="s">
        <v>448</v>
      </c>
      <c r="B147" s="276" t="s">
        <v>114</v>
      </c>
      <c r="C147" s="276"/>
      <c r="D147" s="276"/>
      <c r="E147" s="276" t="s">
        <v>1068</v>
      </c>
      <c r="F147" s="276" t="s">
        <v>1069</v>
      </c>
      <c r="G147" s="276" t="s">
        <v>1070</v>
      </c>
    </row>
    <row r="148" spans="1:7" ht="37.5" customHeight="1" x14ac:dyDescent="0.3">
      <c r="A148" s="385" t="s">
        <v>313</v>
      </c>
      <c r="B148" s="276" t="s">
        <v>205</v>
      </c>
      <c r="C148" s="276" t="s">
        <v>348</v>
      </c>
      <c r="D148" s="276" t="s">
        <v>1071</v>
      </c>
      <c r="E148" s="276" t="s">
        <v>1072</v>
      </c>
      <c r="F148" s="276" t="s">
        <v>1073</v>
      </c>
      <c r="G148" s="276" t="s">
        <v>1074</v>
      </c>
    </row>
    <row r="149" spans="1:7" ht="200.25" customHeight="1" x14ac:dyDescent="0.3">
      <c r="A149" s="385" t="s">
        <v>314</v>
      </c>
      <c r="B149" s="276" t="s">
        <v>206</v>
      </c>
      <c r="C149" s="276" t="s">
        <v>348</v>
      </c>
      <c r="D149" s="276" t="s">
        <v>1075</v>
      </c>
      <c r="E149" s="276" t="s">
        <v>1076</v>
      </c>
      <c r="F149" s="276" t="s">
        <v>1077</v>
      </c>
      <c r="G149" s="276" t="s">
        <v>1078</v>
      </c>
    </row>
    <row r="150" spans="1:7" ht="92.25" customHeight="1" x14ac:dyDescent="0.3">
      <c r="A150" s="383" t="s">
        <v>315</v>
      </c>
      <c r="B150" s="276" t="s">
        <v>1439</v>
      </c>
      <c r="C150" s="276" t="s">
        <v>348</v>
      </c>
      <c r="D150" s="276" t="s">
        <v>1440</v>
      </c>
      <c r="E150" s="276" t="s">
        <v>1441</v>
      </c>
      <c r="F150" s="276" t="s">
        <v>1442</v>
      </c>
      <c r="G150" s="276" t="s">
        <v>1079</v>
      </c>
    </row>
    <row r="151" spans="1:7" ht="154.5" customHeight="1" x14ac:dyDescent="0.3">
      <c r="A151" s="383" t="s">
        <v>316</v>
      </c>
      <c r="B151" s="276" t="s">
        <v>116</v>
      </c>
      <c r="C151" s="276" t="s">
        <v>348</v>
      </c>
      <c r="D151" s="276" t="s">
        <v>1080</v>
      </c>
      <c r="E151" s="276" t="s">
        <v>1081</v>
      </c>
      <c r="F151" s="276" t="s">
        <v>1082</v>
      </c>
      <c r="G151" s="276" t="s">
        <v>1083</v>
      </c>
    </row>
    <row r="152" spans="1:7" ht="148.5" customHeight="1" x14ac:dyDescent="0.3">
      <c r="A152" s="383" t="s">
        <v>317</v>
      </c>
      <c r="B152" s="276" t="s">
        <v>117</v>
      </c>
      <c r="C152" s="276" t="s">
        <v>348</v>
      </c>
      <c r="D152" s="276" t="s">
        <v>1084</v>
      </c>
      <c r="E152" s="276" t="s">
        <v>1085</v>
      </c>
      <c r="F152" s="276" t="s">
        <v>1086</v>
      </c>
      <c r="G152" s="276" t="s">
        <v>1087</v>
      </c>
    </row>
    <row r="153" spans="1:7" ht="190.5" customHeight="1" x14ac:dyDescent="0.3">
      <c r="A153" s="383" t="s">
        <v>449</v>
      </c>
      <c r="B153" s="276" t="s">
        <v>118</v>
      </c>
      <c r="C153" s="276"/>
      <c r="D153" s="276"/>
      <c r="E153" s="276" t="s">
        <v>1088</v>
      </c>
      <c r="F153" s="276" t="s">
        <v>1089</v>
      </c>
      <c r="G153" s="276" t="s">
        <v>1090</v>
      </c>
    </row>
    <row r="154" spans="1:7" ht="82.5" customHeight="1" x14ac:dyDescent="0.3">
      <c r="A154" s="385" t="s">
        <v>318</v>
      </c>
      <c r="B154" s="276" t="s">
        <v>1443</v>
      </c>
      <c r="C154" s="276" t="s">
        <v>348</v>
      </c>
      <c r="D154" s="276" t="s">
        <v>1091</v>
      </c>
      <c r="E154" s="276" t="s">
        <v>1444</v>
      </c>
      <c r="F154" s="276" t="s">
        <v>1445</v>
      </c>
      <c r="G154" s="276" t="s">
        <v>1446</v>
      </c>
    </row>
    <row r="155" spans="1:7" ht="161.25" customHeight="1" x14ac:dyDescent="0.3">
      <c r="A155" s="385" t="s">
        <v>319</v>
      </c>
      <c r="B155" s="276" t="s">
        <v>208</v>
      </c>
      <c r="C155" s="276" t="s">
        <v>348</v>
      </c>
      <c r="D155" s="276" t="s">
        <v>1092</v>
      </c>
      <c r="E155" s="276" t="s">
        <v>1093</v>
      </c>
      <c r="F155" s="276" t="s">
        <v>1094</v>
      </c>
      <c r="G155" s="276" t="s">
        <v>1095</v>
      </c>
    </row>
    <row r="156" spans="1:7" ht="158.25" customHeight="1" x14ac:dyDescent="0.3">
      <c r="A156" s="383" t="s">
        <v>119</v>
      </c>
      <c r="B156" s="276" t="s">
        <v>120</v>
      </c>
      <c r="C156" s="276"/>
      <c r="D156" s="276"/>
      <c r="E156" s="276" t="s">
        <v>1096</v>
      </c>
      <c r="F156" s="276" t="s">
        <v>1097</v>
      </c>
      <c r="G156" s="276" t="s">
        <v>1098</v>
      </c>
    </row>
    <row r="157" spans="1:7" ht="18.75" customHeight="1" x14ac:dyDescent="0.3">
      <c r="A157" s="383" t="s">
        <v>450</v>
      </c>
      <c r="B157" s="276" t="s">
        <v>121</v>
      </c>
      <c r="C157" s="276" t="s">
        <v>348</v>
      </c>
      <c r="D157" s="276" t="s">
        <v>1099</v>
      </c>
      <c r="E157" s="276" t="s">
        <v>1100</v>
      </c>
      <c r="F157" s="276" t="s">
        <v>1101</v>
      </c>
      <c r="G157" s="276" t="s">
        <v>1102</v>
      </c>
    </row>
    <row r="158" spans="1:7" ht="56.25" customHeight="1" x14ac:dyDescent="0.3">
      <c r="A158" s="383" t="s">
        <v>122</v>
      </c>
      <c r="B158" s="276" t="s">
        <v>123</v>
      </c>
      <c r="C158" s="276"/>
      <c r="D158" s="276"/>
      <c r="E158" s="276" t="s">
        <v>1103</v>
      </c>
      <c r="F158" s="276" t="s">
        <v>1104</v>
      </c>
      <c r="G158" s="276" t="s">
        <v>1105</v>
      </c>
    </row>
    <row r="159" spans="1:7" ht="37.5" customHeight="1" x14ac:dyDescent="0.3">
      <c r="A159" s="383" t="s">
        <v>320</v>
      </c>
      <c r="B159" s="276" t="s">
        <v>124</v>
      </c>
      <c r="C159" s="276" t="s">
        <v>348</v>
      </c>
      <c r="D159" s="276" t="s">
        <v>1106</v>
      </c>
      <c r="E159" s="276" t="s">
        <v>1107</v>
      </c>
      <c r="F159" s="276" t="s">
        <v>1108</v>
      </c>
      <c r="G159" s="276" t="s">
        <v>1109</v>
      </c>
    </row>
    <row r="160" spans="1:7" ht="147.75" customHeight="1" x14ac:dyDescent="0.3">
      <c r="A160" s="383" t="s">
        <v>321</v>
      </c>
      <c r="B160" s="276" t="s">
        <v>125</v>
      </c>
      <c r="C160" s="276" t="s">
        <v>348</v>
      </c>
      <c r="D160" s="276" t="s">
        <v>1110</v>
      </c>
      <c r="E160" s="276" t="s">
        <v>1111</v>
      </c>
      <c r="F160" s="276" t="s">
        <v>1112</v>
      </c>
      <c r="G160" s="276" t="s">
        <v>1113</v>
      </c>
    </row>
    <row r="161" spans="1:7" ht="89.25" customHeight="1" x14ac:dyDescent="0.3">
      <c r="A161" s="383" t="s">
        <v>322</v>
      </c>
      <c r="B161" s="276" t="s">
        <v>126</v>
      </c>
      <c r="C161" s="276" t="s">
        <v>348</v>
      </c>
      <c r="D161" s="276" t="s">
        <v>1114</v>
      </c>
      <c r="E161" s="276" t="s">
        <v>1115</v>
      </c>
      <c r="F161" s="276" t="s">
        <v>1116</v>
      </c>
      <c r="G161" s="276" t="s">
        <v>1117</v>
      </c>
    </row>
    <row r="162" spans="1:7" ht="236.25" customHeight="1" x14ac:dyDescent="0.3">
      <c r="A162" s="387" t="s">
        <v>127</v>
      </c>
      <c r="B162" s="388" t="s">
        <v>130</v>
      </c>
      <c r="C162" s="388"/>
      <c r="D162" s="388"/>
      <c r="E162" s="388" t="s">
        <v>1118</v>
      </c>
      <c r="F162" s="388" t="s">
        <v>1119</v>
      </c>
      <c r="G162" s="388" t="s">
        <v>1120</v>
      </c>
    </row>
    <row r="163" spans="1:7" ht="310.5" customHeight="1" x14ac:dyDescent="0.3">
      <c r="A163" s="383" t="s">
        <v>128</v>
      </c>
      <c r="B163" s="276" t="s">
        <v>131</v>
      </c>
      <c r="C163" s="276"/>
      <c r="D163" s="276"/>
      <c r="E163" s="276" t="s">
        <v>1121</v>
      </c>
      <c r="F163" s="276" t="s">
        <v>1122</v>
      </c>
      <c r="G163" s="276" t="s">
        <v>1123</v>
      </c>
    </row>
    <row r="164" spans="1:7" ht="370.5" customHeight="1" x14ac:dyDescent="0.3">
      <c r="A164" s="383" t="s">
        <v>451</v>
      </c>
      <c r="B164" s="276" t="s">
        <v>132</v>
      </c>
      <c r="C164" s="276"/>
      <c r="D164" s="276"/>
      <c r="E164" s="276" t="s">
        <v>1124</v>
      </c>
      <c r="F164" s="276" t="s">
        <v>1125</v>
      </c>
      <c r="G164" s="276" t="s">
        <v>1126</v>
      </c>
    </row>
    <row r="165" spans="1:7" ht="56.25" customHeight="1" x14ac:dyDescent="0.3">
      <c r="A165" s="389" t="s">
        <v>324</v>
      </c>
      <c r="B165" s="390" t="s">
        <v>1447</v>
      </c>
      <c r="C165" s="390" t="s">
        <v>351</v>
      </c>
      <c r="D165" s="390" t="s">
        <v>1127</v>
      </c>
      <c r="E165" s="390" t="s">
        <v>1128</v>
      </c>
      <c r="F165" s="390" t="s">
        <v>1448</v>
      </c>
      <c r="G165" s="396" t="s">
        <v>1448</v>
      </c>
    </row>
    <row r="166" spans="1:7" ht="58.5" customHeight="1" x14ac:dyDescent="0.3">
      <c r="A166" s="385" t="s">
        <v>325</v>
      </c>
      <c r="B166" s="276" t="s">
        <v>365</v>
      </c>
      <c r="C166" s="276" t="s">
        <v>351</v>
      </c>
      <c r="D166" s="276" t="s">
        <v>1129</v>
      </c>
      <c r="E166" s="276" t="s">
        <v>1130</v>
      </c>
      <c r="F166" s="276" t="s">
        <v>1131</v>
      </c>
      <c r="G166" s="276" t="s">
        <v>1132</v>
      </c>
    </row>
    <row r="167" spans="1:7" ht="73.5" customHeight="1" x14ac:dyDescent="0.3">
      <c r="A167" s="385" t="s">
        <v>326</v>
      </c>
      <c r="B167" s="276" t="s">
        <v>366</v>
      </c>
      <c r="C167" s="276" t="s">
        <v>351</v>
      </c>
      <c r="D167" s="276" t="s">
        <v>1133</v>
      </c>
      <c r="E167" s="276" t="s">
        <v>1134</v>
      </c>
      <c r="F167" s="276" t="s">
        <v>1135</v>
      </c>
      <c r="G167" s="276" t="s">
        <v>1136</v>
      </c>
    </row>
    <row r="168" spans="1:7" ht="37.5" customHeight="1" x14ac:dyDescent="0.3">
      <c r="A168" s="383" t="s">
        <v>327</v>
      </c>
      <c r="B168" s="276" t="s">
        <v>133</v>
      </c>
      <c r="C168" s="276" t="s">
        <v>353</v>
      </c>
      <c r="D168" s="276" t="s">
        <v>1137</v>
      </c>
      <c r="E168" s="276" t="s">
        <v>1138</v>
      </c>
      <c r="F168" s="384" t="s">
        <v>1139</v>
      </c>
      <c r="G168" s="276" t="s">
        <v>1140</v>
      </c>
    </row>
    <row r="169" spans="1:7" ht="86.25" customHeight="1" x14ac:dyDescent="0.3">
      <c r="A169" s="383" t="s">
        <v>328</v>
      </c>
      <c r="B169" s="276" t="s">
        <v>134</v>
      </c>
      <c r="C169" s="276" t="s">
        <v>353</v>
      </c>
      <c r="D169" s="276" t="s">
        <v>1141</v>
      </c>
      <c r="E169" s="384" t="s">
        <v>1142</v>
      </c>
      <c r="F169" s="276" t="s">
        <v>1143</v>
      </c>
      <c r="G169" s="276" t="s">
        <v>1144</v>
      </c>
    </row>
    <row r="170" spans="1:7" ht="56.25" customHeight="1" x14ac:dyDescent="0.3">
      <c r="A170" s="383" t="s">
        <v>452</v>
      </c>
      <c r="B170" s="276" t="s">
        <v>135</v>
      </c>
      <c r="C170" s="276"/>
      <c r="D170" s="276"/>
      <c r="E170" s="276" t="s">
        <v>1145</v>
      </c>
      <c r="F170" s="276" t="s">
        <v>1146</v>
      </c>
      <c r="G170" s="276" t="s">
        <v>1147</v>
      </c>
    </row>
    <row r="171" spans="1:7" ht="75" customHeight="1" x14ac:dyDescent="0.3">
      <c r="A171" s="385" t="s">
        <v>329</v>
      </c>
      <c r="B171" s="276" t="s">
        <v>209</v>
      </c>
      <c r="C171" s="276" t="s">
        <v>351</v>
      </c>
      <c r="D171" s="276" t="s">
        <v>1148</v>
      </c>
      <c r="E171" s="276" t="s">
        <v>209</v>
      </c>
      <c r="F171" s="276" t="s">
        <v>1449</v>
      </c>
      <c r="G171" s="276" t="s">
        <v>1449</v>
      </c>
    </row>
    <row r="172" spans="1:7" ht="37.5" customHeight="1" x14ac:dyDescent="0.3">
      <c r="A172" s="385" t="s">
        <v>330</v>
      </c>
      <c r="B172" s="276" t="s">
        <v>1450</v>
      </c>
      <c r="C172" s="276" t="s">
        <v>351</v>
      </c>
      <c r="D172" s="276" t="s">
        <v>1149</v>
      </c>
      <c r="E172" s="276" t="s">
        <v>1451</v>
      </c>
      <c r="F172" s="276" t="s">
        <v>1452</v>
      </c>
      <c r="G172" s="276" t="s">
        <v>1453</v>
      </c>
    </row>
    <row r="173" spans="1:7" ht="72" customHeight="1" x14ac:dyDescent="0.3">
      <c r="A173" s="385" t="s">
        <v>331</v>
      </c>
      <c r="B173" s="276" t="s">
        <v>211</v>
      </c>
      <c r="C173" s="276" t="s">
        <v>351</v>
      </c>
      <c r="D173" s="276" t="s">
        <v>1150</v>
      </c>
      <c r="E173" s="276" t="s">
        <v>1151</v>
      </c>
      <c r="F173" s="276" t="s">
        <v>1152</v>
      </c>
      <c r="G173" s="276" t="s">
        <v>1153</v>
      </c>
    </row>
    <row r="174" spans="1:7" ht="125.25" customHeight="1" x14ac:dyDescent="0.3">
      <c r="A174" s="385" t="s">
        <v>332</v>
      </c>
      <c r="B174" s="276" t="s">
        <v>212</v>
      </c>
      <c r="C174" s="276" t="s">
        <v>351</v>
      </c>
      <c r="D174" s="276" t="s">
        <v>1154</v>
      </c>
      <c r="E174" s="276" t="s">
        <v>1155</v>
      </c>
      <c r="F174" s="276" t="s">
        <v>1156</v>
      </c>
      <c r="G174" s="276" t="s">
        <v>1157</v>
      </c>
    </row>
    <row r="175" spans="1:7" ht="117" customHeight="1" x14ac:dyDescent="0.3">
      <c r="A175" s="383" t="s">
        <v>129</v>
      </c>
      <c r="B175" s="276" t="s">
        <v>380</v>
      </c>
      <c r="C175" s="276"/>
      <c r="D175" s="276"/>
      <c r="E175" s="276" t="s">
        <v>1158</v>
      </c>
      <c r="F175" s="276" t="s">
        <v>1159</v>
      </c>
      <c r="G175" s="276" t="s">
        <v>1160</v>
      </c>
    </row>
    <row r="176" spans="1:7" ht="245.25" customHeight="1" x14ac:dyDescent="0.3">
      <c r="A176" s="383" t="s">
        <v>453</v>
      </c>
      <c r="B176" s="276" t="s">
        <v>618</v>
      </c>
      <c r="C176" s="276"/>
      <c r="D176" s="276"/>
      <c r="E176" s="276" t="s">
        <v>1161</v>
      </c>
      <c r="F176" s="276" t="s">
        <v>1162</v>
      </c>
      <c r="G176" s="276" t="s">
        <v>1163</v>
      </c>
    </row>
    <row r="177" spans="1:7" ht="84.75" customHeight="1" x14ac:dyDescent="0.3">
      <c r="A177" s="385" t="s">
        <v>333</v>
      </c>
      <c r="B177" s="276" t="s">
        <v>213</v>
      </c>
      <c r="C177" s="276" t="s">
        <v>351</v>
      </c>
      <c r="D177" s="276" t="s">
        <v>1164</v>
      </c>
      <c r="E177" s="276" t="s">
        <v>1165</v>
      </c>
      <c r="F177" s="276" t="s">
        <v>1166</v>
      </c>
      <c r="G177" s="276" t="s">
        <v>1167</v>
      </c>
    </row>
    <row r="178" spans="1:7" ht="165.75" customHeight="1" x14ac:dyDescent="0.3">
      <c r="A178" s="385" t="s">
        <v>334</v>
      </c>
      <c r="B178" s="276" t="s">
        <v>1454</v>
      </c>
      <c r="C178" s="276" t="s">
        <v>351</v>
      </c>
      <c r="D178" s="276" t="s">
        <v>1168</v>
      </c>
      <c r="E178" s="276" t="s">
        <v>1455</v>
      </c>
      <c r="F178" s="276" t="s">
        <v>1456</v>
      </c>
      <c r="G178" s="276" t="s">
        <v>1457</v>
      </c>
    </row>
    <row r="179" spans="1:7" ht="85.5" customHeight="1" x14ac:dyDescent="0.3">
      <c r="A179" s="385" t="s">
        <v>335</v>
      </c>
      <c r="B179" s="276" t="s">
        <v>1458</v>
      </c>
      <c r="C179" s="276" t="s">
        <v>351</v>
      </c>
      <c r="D179" s="276" t="s">
        <v>1169</v>
      </c>
      <c r="E179" s="276" t="s">
        <v>1459</v>
      </c>
      <c r="F179" s="384" t="s">
        <v>1460</v>
      </c>
      <c r="G179" s="276" t="s">
        <v>1170</v>
      </c>
    </row>
    <row r="180" spans="1:7" ht="128.25" customHeight="1" x14ac:dyDescent="0.3">
      <c r="A180" s="383" t="s">
        <v>454</v>
      </c>
      <c r="B180" s="276" t="s">
        <v>136</v>
      </c>
      <c r="C180" s="276"/>
      <c r="D180" s="276"/>
      <c r="E180" s="276" t="s">
        <v>1171</v>
      </c>
      <c r="F180" s="276" t="s">
        <v>1461</v>
      </c>
      <c r="G180" s="276" t="s">
        <v>1462</v>
      </c>
    </row>
    <row r="181" spans="1:7" ht="104.25" customHeight="1" x14ac:dyDescent="0.3">
      <c r="A181" s="385" t="s">
        <v>336</v>
      </c>
      <c r="B181" s="276" t="s">
        <v>216</v>
      </c>
      <c r="C181" s="276" t="s">
        <v>351</v>
      </c>
      <c r="D181" s="276" t="s">
        <v>1172</v>
      </c>
      <c r="E181" s="276" t="s">
        <v>216</v>
      </c>
      <c r="F181" s="276" t="s">
        <v>1173</v>
      </c>
      <c r="G181" s="276" t="s">
        <v>1173</v>
      </c>
    </row>
    <row r="182" spans="1:7" ht="227.25" customHeight="1" x14ac:dyDescent="0.3">
      <c r="A182" s="385" t="s">
        <v>337</v>
      </c>
      <c r="B182" s="276" t="s">
        <v>217</v>
      </c>
      <c r="C182" s="276" t="s">
        <v>351</v>
      </c>
      <c r="D182" s="276" t="s">
        <v>1174</v>
      </c>
      <c r="E182" s="276" t="s">
        <v>1175</v>
      </c>
      <c r="F182" s="276" t="s">
        <v>1176</v>
      </c>
      <c r="G182" s="276" t="s">
        <v>1177</v>
      </c>
    </row>
    <row r="183" spans="1:7" ht="103.5" customHeight="1" x14ac:dyDescent="0.3">
      <c r="A183" s="389" t="s">
        <v>1247</v>
      </c>
      <c r="B183" s="390" t="s">
        <v>1248</v>
      </c>
      <c r="C183" s="390" t="s">
        <v>351</v>
      </c>
      <c r="D183" s="390"/>
      <c r="E183" s="390" t="s">
        <v>1248</v>
      </c>
      <c r="F183" s="390" t="s">
        <v>1463</v>
      </c>
      <c r="G183" s="390" t="s">
        <v>1463</v>
      </c>
    </row>
    <row r="184" spans="1:7" ht="153.75" customHeight="1" x14ac:dyDescent="0.3">
      <c r="A184" s="383" t="s">
        <v>338</v>
      </c>
      <c r="B184" s="276" t="s">
        <v>1178</v>
      </c>
      <c r="C184" s="276" t="s">
        <v>352</v>
      </c>
      <c r="D184" s="276" t="s">
        <v>1179</v>
      </c>
      <c r="E184" s="276" t="s">
        <v>1180</v>
      </c>
      <c r="F184" s="276" t="s">
        <v>1181</v>
      </c>
      <c r="G184" s="276" t="s">
        <v>1182</v>
      </c>
    </row>
    <row r="185" spans="1:7" ht="91.5" customHeight="1" x14ac:dyDescent="0.3">
      <c r="A185" s="383" t="s">
        <v>455</v>
      </c>
      <c r="B185" s="276" t="s">
        <v>138</v>
      </c>
      <c r="C185" s="276"/>
      <c r="D185" s="276"/>
      <c r="E185" s="276" t="s">
        <v>1183</v>
      </c>
      <c r="F185" s="276" t="s">
        <v>1184</v>
      </c>
      <c r="G185" s="276" t="s">
        <v>1185</v>
      </c>
    </row>
    <row r="186" spans="1:7" ht="96.75" customHeight="1" x14ac:dyDescent="0.3">
      <c r="A186" s="385" t="s">
        <v>339</v>
      </c>
      <c r="B186" s="276" t="s">
        <v>218</v>
      </c>
      <c r="C186" s="276" t="s">
        <v>352</v>
      </c>
      <c r="D186" s="276" t="s">
        <v>1186</v>
      </c>
      <c r="E186" s="276" t="s">
        <v>1187</v>
      </c>
      <c r="F186" s="276" t="s">
        <v>1188</v>
      </c>
      <c r="G186" s="276" t="s">
        <v>1189</v>
      </c>
    </row>
    <row r="187" spans="1:7" ht="84" customHeight="1" x14ac:dyDescent="0.3">
      <c r="A187" s="385" t="s">
        <v>340</v>
      </c>
      <c r="B187" s="276" t="s">
        <v>219</v>
      </c>
      <c r="C187" s="276" t="s">
        <v>352</v>
      </c>
      <c r="D187" s="276" t="s">
        <v>1190</v>
      </c>
      <c r="E187" s="276" t="s">
        <v>1191</v>
      </c>
      <c r="F187" s="276" t="s">
        <v>1192</v>
      </c>
      <c r="G187" s="276" t="s">
        <v>1193</v>
      </c>
    </row>
    <row r="188" spans="1:7" ht="79.5" customHeight="1" x14ac:dyDescent="0.3">
      <c r="A188" s="383" t="s">
        <v>341</v>
      </c>
      <c r="B188" s="276" t="s">
        <v>139</v>
      </c>
      <c r="C188" s="276" t="s">
        <v>352</v>
      </c>
      <c r="D188" s="276" t="s">
        <v>1194</v>
      </c>
      <c r="E188" s="276" t="s">
        <v>1195</v>
      </c>
      <c r="F188" s="276" t="s">
        <v>1196</v>
      </c>
      <c r="G188" s="276" t="s">
        <v>1197</v>
      </c>
    </row>
    <row r="189" spans="1:7" ht="56.25" customHeight="1" x14ac:dyDescent="0.3">
      <c r="A189" s="383" t="s">
        <v>342</v>
      </c>
      <c r="B189" s="276" t="s">
        <v>140</v>
      </c>
      <c r="C189" s="276" t="s">
        <v>352</v>
      </c>
      <c r="D189" s="276" t="s">
        <v>1198</v>
      </c>
      <c r="E189" s="276" t="s">
        <v>1199</v>
      </c>
      <c r="F189" s="276" t="s">
        <v>1200</v>
      </c>
      <c r="G189" s="276" t="s">
        <v>1201</v>
      </c>
    </row>
    <row r="190" spans="1:7" ht="18.75" customHeight="1" x14ac:dyDescent="0.3">
      <c r="A190" s="398" t="s">
        <v>1294</v>
      </c>
      <c r="B190" s="390" t="s">
        <v>1311</v>
      </c>
      <c r="C190" s="390" t="s">
        <v>352</v>
      </c>
      <c r="D190" s="390"/>
      <c r="E190" s="390" t="s">
        <v>1464</v>
      </c>
      <c r="F190" s="390" t="s">
        <v>1465</v>
      </c>
      <c r="G190" s="390" t="s">
        <v>1466</v>
      </c>
    </row>
    <row r="191" spans="1:7" ht="56.25" customHeight="1" x14ac:dyDescent="0.3">
      <c r="A191" s="383" t="s">
        <v>220</v>
      </c>
      <c r="B191" s="276" t="s">
        <v>381</v>
      </c>
      <c r="C191" s="276"/>
      <c r="D191" s="276"/>
      <c r="E191" s="276" t="s">
        <v>1202</v>
      </c>
      <c r="F191" s="276" t="s">
        <v>1203</v>
      </c>
      <c r="G191" s="276" t="s">
        <v>1204</v>
      </c>
    </row>
    <row r="192" spans="1:7" ht="80.25" customHeight="1" x14ac:dyDescent="0.3">
      <c r="A192" s="383" t="s">
        <v>221</v>
      </c>
      <c r="B192" s="276" t="s">
        <v>222</v>
      </c>
      <c r="C192" s="276"/>
      <c r="D192" s="276"/>
      <c r="E192" s="276" t="s">
        <v>1205</v>
      </c>
      <c r="F192" s="276" t="s">
        <v>1206</v>
      </c>
      <c r="G192" s="276" t="s">
        <v>1207</v>
      </c>
    </row>
    <row r="193" spans="1:7" ht="56.25" customHeight="1" x14ac:dyDescent="0.3">
      <c r="A193" s="385" t="s">
        <v>343</v>
      </c>
      <c r="B193" s="276" t="s">
        <v>223</v>
      </c>
      <c r="C193" s="276" t="s">
        <v>351</v>
      </c>
      <c r="D193" s="276" t="s">
        <v>1208</v>
      </c>
      <c r="E193" s="276" t="s">
        <v>1209</v>
      </c>
      <c r="F193" s="276" t="s">
        <v>1210</v>
      </c>
      <c r="G193" s="276" t="s">
        <v>1211</v>
      </c>
    </row>
    <row r="194" spans="1:7" ht="56.25" customHeight="1" x14ac:dyDescent="0.3">
      <c r="A194" s="389" t="s">
        <v>237</v>
      </c>
      <c r="B194" s="390" t="s">
        <v>1286</v>
      </c>
      <c r="C194" s="390" t="s">
        <v>351</v>
      </c>
      <c r="D194" s="390" t="s">
        <v>1212</v>
      </c>
      <c r="E194" s="390" t="s">
        <v>1467</v>
      </c>
      <c r="F194" s="400" t="s">
        <v>1468</v>
      </c>
      <c r="G194" s="390" t="s">
        <v>1469</v>
      </c>
    </row>
    <row r="195" spans="1:7" ht="56.25" customHeight="1" x14ac:dyDescent="0.3">
      <c r="A195" s="383" t="s">
        <v>236</v>
      </c>
      <c r="B195" s="276" t="s">
        <v>225</v>
      </c>
      <c r="C195" s="276" t="s">
        <v>352</v>
      </c>
      <c r="D195" s="276" t="s">
        <v>1213</v>
      </c>
      <c r="E195" s="276" t="s">
        <v>1214</v>
      </c>
      <c r="F195" s="276" t="s">
        <v>1215</v>
      </c>
      <c r="G195" s="276" t="s">
        <v>1216</v>
      </c>
    </row>
    <row r="196" spans="1:7" ht="56.25" customHeight="1" x14ac:dyDescent="0.3">
      <c r="A196" s="387" t="s">
        <v>141</v>
      </c>
      <c r="B196" s="388" t="s">
        <v>142</v>
      </c>
      <c r="C196" s="388"/>
      <c r="D196" s="388"/>
      <c r="E196" s="388" t="s">
        <v>1217</v>
      </c>
      <c r="F196" s="388" t="s">
        <v>1218</v>
      </c>
      <c r="G196" s="388" t="s">
        <v>1219</v>
      </c>
    </row>
    <row r="197" spans="1:7" x14ac:dyDescent="0.3">
      <c r="A197" s="385" t="s">
        <v>359</v>
      </c>
      <c r="B197" s="276" t="s">
        <v>601</v>
      </c>
      <c r="C197" s="276" t="s">
        <v>356</v>
      </c>
      <c r="D197" s="276"/>
      <c r="E197" s="276" t="s">
        <v>1220</v>
      </c>
      <c r="F197" s="276" t="s">
        <v>1221</v>
      </c>
      <c r="G197" s="276" t="s">
        <v>1222</v>
      </c>
    </row>
    <row r="198" spans="1:7" ht="37.5" x14ac:dyDescent="0.3">
      <c r="A198" s="385" t="s">
        <v>235</v>
      </c>
      <c r="B198" s="276" t="s">
        <v>143</v>
      </c>
      <c r="C198" s="276" t="s">
        <v>356</v>
      </c>
      <c r="D198" s="276"/>
      <c r="E198" s="276" t="s">
        <v>1223</v>
      </c>
      <c r="F198" s="276" t="s">
        <v>1224</v>
      </c>
      <c r="G198" s="276" t="s">
        <v>1225</v>
      </c>
    </row>
    <row r="199" spans="1:7" ht="37.5" x14ac:dyDescent="0.3">
      <c r="A199" s="387" t="s">
        <v>144</v>
      </c>
      <c r="B199" s="388" t="s">
        <v>146</v>
      </c>
      <c r="C199" s="388"/>
      <c r="D199" s="388"/>
      <c r="E199" s="388" t="s">
        <v>1226</v>
      </c>
      <c r="F199" s="388" t="s">
        <v>1227</v>
      </c>
      <c r="G199" s="388" t="s">
        <v>1228</v>
      </c>
    </row>
    <row r="200" spans="1:7" ht="56.25" x14ac:dyDescent="0.3">
      <c r="A200" s="385" t="s">
        <v>234</v>
      </c>
      <c r="B200" s="276" t="s">
        <v>148</v>
      </c>
      <c r="C200" s="276" t="s">
        <v>356</v>
      </c>
      <c r="D200" s="276"/>
      <c r="E200" s="276" t="s">
        <v>1229</v>
      </c>
      <c r="F200" s="276" t="s">
        <v>1230</v>
      </c>
      <c r="G200" s="276" t="s">
        <v>1231</v>
      </c>
    </row>
    <row r="201" spans="1:7" ht="37.5" x14ac:dyDescent="0.3">
      <c r="A201" s="387" t="s">
        <v>145</v>
      </c>
      <c r="B201" s="388" t="s">
        <v>147</v>
      </c>
      <c r="C201" s="388"/>
      <c r="D201" s="388"/>
      <c r="E201" s="388" t="s">
        <v>1232</v>
      </c>
      <c r="F201" s="388" t="s">
        <v>1233</v>
      </c>
      <c r="G201" s="388" t="s">
        <v>1234</v>
      </c>
    </row>
    <row r="202" spans="1:7" ht="16.5" customHeight="1" x14ac:dyDescent="0.3">
      <c r="A202" s="385" t="s">
        <v>233</v>
      </c>
      <c r="B202" s="276" t="s">
        <v>149</v>
      </c>
      <c r="C202" s="276" t="s">
        <v>356</v>
      </c>
      <c r="D202" s="276"/>
      <c r="E202" s="276" t="s">
        <v>1235</v>
      </c>
      <c r="F202" s="276" t="s">
        <v>1236</v>
      </c>
      <c r="G202" s="276" t="s">
        <v>1237</v>
      </c>
    </row>
    <row r="203" spans="1:7" ht="37.5" x14ac:dyDescent="0.3">
      <c r="A203" s="387" t="s">
        <v>1376</v>
      </c>
      <c r="B203" s="387" t="s">
        <v>1470</v>
      </c>
      <c r="C203" s="387" t="s">
        <v>356</v>
      </c>
      <c r="D203" s="387"/>
      <c r="E203" s="387" t="s">
        <v>1470</v>
      </c>
      <c r="F203" s="387" t="s">
        <v>1471</v>
      </c>
      <c r="G203" s="387"/>
    </row>
    <row r="204" spans="1:7" ht="27.75" customHeight="1" x14ac:dyDescent="0.3">
      <c r="A204" s="276" t="s">
        <v>1472</v>
      </c>
      <c r="B204" s="276" t="s">
        <v>1372</v>
      </c>
      <c r="C204" s="276"/>
      <c r="D204" s="276"/>
      <c r="E204" s="276" t="s">
        <v>1473</v>
      </c>
      <c r="F204" s="276" t="s">
        <v>1474</v>
      </c>
      <c r="G204" s="276" t="s">
        <v>1475</v>
      </c>
    </row>
    <row r="205" spans="1:7" ht="18" customHeight="1" x14ac:dyDescent="0.3">
      <c r="A205" s="385" t="s">
        <v>1518</v>
      </c>
      <c r="B205" s="276" t="s">
        <v>1476</v>
      </c>
      <c r="C205" s="276" t="s">
        <v>349</v>
      </c>
      <c r="D205" s="276"/>
      <c r="E205" s="276" t="s">
        <v>1476</v>
      </c>
      <c r="F205" s="276" t="s">
        <v>1477</v>
      </c>
      <c r="G205" s="276" t="s">
        <v>1477</v>
      </c>
    </row>
    <row r="206" spans="1:7" ht="15" customHeight="1" x14ac:dyDescent="0.3">
      <c r="A206" s="276" t="s">
        <v>1385</v>
      </c>
      <c r="B206" s="276" t="s">
        <v>1355</v>
      </c>
      <c r="C206" s="276" t="s">
        <v>349</v>
      </c>
      <c r="D206" s="276"/>
      <c r="E206" s="276" t="s">
        <v>1365</v>
      </c>
      <c r="F206" s="276" t="s">
        <v>1478</v>
      </c>
      <c r="G206" s="276" t="s">
        <v>1479</v>
      </c>
    </row>
    <row r="207" spans="1:7" ht="30" customHeight="1" x14ac:dyDescent="0.3">
      <c r="A207" s="276" t="s">
        <v>1378</v>
      </c>
      <c r="B207" s="276" t="s">
        <v>1356</v>
      </c>
      <c r="C207" s="276" t="s">
        <v>349</v>
      </c>
      <c r="D207" s="276"/>
      <c r="E207" s="276" t="s">
        <v>800</v>
      </c>
      <c r="F207" s="276" t="s">
        <v>801</v>
      </c>
      <c r="G207" s="276" t="s">
        <v>802</v>
      </c>
    </row>
    <row r="208" spans="1:7" ht="37.5" x14ac:dyDescent="0.3">
      <c r="A208" s="385" t="s">
        <v>1519</v>
      </c>
      <c r="B208" s="276" t="s">
        <v>1480</v>
      </c>
      <c r="C208" s="276" t="s">
        <v>348</v>
      </c>
      <c r="D208" s="276"/>
      <c r="E208" s="276" t="s">
        <v>1481</v>
      </c>
      <c r="F208" s="276" t="s">
        <v>1482</v>
      </c>
      <c r="G208" s="276" t="s">
        <v>1482</v>
      </c>
    </row>
    <row r="209" spans="1:7" x14ac:dyDescent="0.3">
      <c r="A209" s="276" t="s">
        <v>1386</v>
      </c>
      <c r="B209" s="276" t="s">
        <v>1483</v>
      </c>
      <c r="C209" s="276" t="s">
        <v>348</v>
      </c>
      <c r="D209" s="276"/>
      <c r="E209" s="276" t="s">
        <v>1483</v>
      </c>
      <c r="F209" s="276" t="s">
        <v>1484</v>
      </c>
      <c r="G209" s="276" t="s">
        <v>1484</v>
      </c>
    </row>
    <row r="210" spans="1:7" x14ac:dyDescent="0.3">
      <c r="A210" s="276" t="s">
        <v>1387</v>
      </c>
      <c r="B210" s="276" t="s">
        <v>1485</v>
      </c>
      <c r="C210" s="276" t="s">
        <v>348</v>
      </c>
      <c r="D210" s="276"/>
      <c r="E210" s="276" t="s">
        <v>1485</v>
      </c>
      <c r="F210" s="276" t="s">
        <v>1486</v>
      </c>
      <c r="G210" s="276" t="s">
        <v>1486</v>
      </c>
    </row>
    <row r="211" spans="1:7" ht="37.5" x14ac:dyDescent="0.3">
      <c r="A211" s="276" t="s">
        <v>1377</v>
      </c>
      <c r="B211" s="276" t="s">
        <v>1364</v>
      </c>
      <c r="C211" s="276" t="s">
        <v>350</v>
      </c>
      <c r="D211" s="276"/>
      <c r="E211" s="276" t="s">
        <v>1487</v>
      </c>
      <c r="F211" s="276" t="s">
        <v>1488</v>
      </c>
      <c r="G211" s="276" t="s">
        <v>1489</v>
      </c>
    </row>
    <row r="212" spans="1:7" x14ac:dyDescent="0.3">
      <c r="A212" s="385" t="s">
        <v>1388</v>
      </c>
      <c r="B212" s="276" t="s">
        <v>851</v>
      </c>
      <c r="C212" s="276" t="s">
        <v>350</v>
      </c>
      <c r="D212" s="276"/>
      <c r="E212" s="276" t="s">
        <v>1490</v>
      </c>
      <c r="F212" s="276" t="s">
        <v>1491</v>
      </c>
      <c r="G212" s="276" t="s">
        <v>1492</v>
      </c>
    </row>
    <row r="213" spans="1:7" ht="37.5" x14ac:dyDescent="0.3">
      <c r="A213" s="385" t="s">
        <v>1373</v>
      </c>
      <c r="B213" s="385" t="s">
        <v>1374</v>
      </c>
      <c r="C213" s="385" t="s">
        <v>355</v>
      </c>
      <c r="D213" s="385"/>
      <c r="E213" s="385" t="s">
        <v>1374</v>
      </c>
      <c r="F213" s="385" t="s">
        <v>1493</v>
      </c>
      <c r="G213" s="385" t="s">
        <v>1493</v>
      </c>
    </row>
    <row r="214" spans="1:7" ht="37.5" x14ac:dyDescent="0.3">
      <c r="A214" s="385" t="s">
        <v>1515</v>
      </c>
      <c r="B214" s="385" t="s">
        <v>1494</v>
      </c>
      <c r="C214" s="385" t="s">
        <v>352</v>
      </c>
      <c r="D214" s="385"/>
      <c r="E214" s="385" t="s">
        <v>1494</v>
      </c>
      <c r="F214" s="385" t="s">
        <v>1495</v>
      </c>
      <c r="G214" s="385" t="s">
        <v>1495</v>
      </c>
    </row>
    <row r="215" spans="1:7" ht="56.25" x14ac:dyDescent="0.3">
      <c r="A215" s="385" t="s">
        <v>1516</v>
      </c>
      <c r="B215" s="385" t="s">
        <v>1496</v>
      </c>
      <c r="C215" s="385" t="s">
        <v>349</v>
      </c>
      <c r="D215" s="385" t="s">
        <v>1497</v>
      </c>
      <c r="E215" s="385" t="s">
        <v>1548</v>
      </c>
      <c r="F215" s="385" t="s">
        <v>1498</v>
      </c>
      <c r="G215" s="385" t="s">
        <v>1499</v>
      </c>
    </row>
    <row r="216" spans="1:7" ht="37.5" customHeight="1" x14ac:dyDescent="0.3">
      <c r="A216" s="387" t="s">
        <v>1500</v>
      </c>
      <c r="B216" s="387" t="s">
        <v>1501</v>
      </c>
      <c r="C216" s="387"/>
      <c r="D216" s="387"/>
      <c r="E216" s="387" t="s">
        <v>1501</v>
      </c>
      <c r="F216" s="387" t="s">
        <v>1471</v>
      </c>
      <c r="G216" s="387"/>
    </row>
    <row r="217" spans="1:7" ht="56.25" x14ac:dyDescent="0.3">
      <c r="A217" s="383" t="s">
        <v>1502</v>
      </c>
      <c r="B217" s="385" t="s">
        <v>1503</v>
      </c>
      <c r="C217" s="385"/>
      <c r="D217" s="385"/>
      <c r="E217" s="385"/>
      <c r="F217" s="385" t="s">
        <v>1504</v>
      </c>
      <c r="G217" s="385"/>
    </row>
    <row r="218" spans="1:7" ht="37.5" x14ac:dyDescent="0.3">
      <c r="A218" s="383" t="s">
        <v>1517</v>
      </c>
      <c r="B218" s="385" t="s">
        <v>1505</v>
      </c>
      <c r="C218" s="385" t="s">
        <v>348</v>
      </c>
      <c r="D218" s="385"/>
      <c r="E218" s="385" t="s">
        <v>1505</v>
      </c>
      <c r="F218" s="385" t="s">
        <v>1506</v>
      </c>
      <c r="G218" s="385" t="s">
        <v>1506</v>
      </c>
    </row>
    <row r="219" spans="1:7" ht="37.5" x14ac:dyDescent="0.3">
      <c r="A219" s="385" t="s">
        <v>1390</v>
      </c>
      <c r="B219" s="385" t="s">
        <v>1049</v>
      </c>
      <c r="C219" s="385" t="s">
        <v>348</v>
      </c>
      <c r="D219" s="385"/>
      <c r="E219" s="385" t="s">
        <v>1049</v>
      </c>
      <c r="F219" s="385" t="s">
        <v>1507</v>
      </c>
      <c r="G219" s="385" t="s">
        <v>1051</v>
      </c>
    </row>
    <row r="220" spans="1:7" x14ac:dyDescent="0.3">
      <c r="A220" s="385" t="s">
        <v>1391</v>
      </c>
      <c r="B220" s="385" t="s">
        <v>1508</v>
      </c>
      <c r="C220" s="385" t="s">
        <v>348</v>
      </c>
      <c r="D220" s="385"/>
      <c r="E220" s="385" t="s">
        <v>1508</v>
      </c>
      <c r="F220" s="385" t="s">
        <v>1509</v>
      </c>
      <c r="G220" s="385" t="s">
        <v>1509</v>
      </c>
    </row>
    <row r="221" spans="1:7" ht="37.5" x14ac:dyDescent="0.3">
      <c r="A221" s="401" t="s">
        <v>1520</v>
      </c>
      <c r="B221" s="385" t="s">
        <v>1510</v>
      </c>
      <c r="C221" s="385" t="s">
        <v>351</v>
      </c>
      <c r="D221" s="385"/>
      <c r="E221" s="385" t="s">
        <v>1510</v>
      </c>
      <c r="F221" s="385" t="s">
        <v>1511</v>
      </c>
      <c r="G221" s="385" t="s">
        <v>1512</v>
      </c>
    </row>
    <row r="222" spans="1:7" ht="37.5" x14ac:dyDescent="0.3">
      <c r="A222" s="401" t="s">
        <v>1521</v>
      </c>
      <c r="B222" s="385" t="s">
        <v>1513</v>
      </c>
      <c r="C222" s="385" t="s">
        <v>352</v>
      </c>
      <c r="D222" s="385"/>
      <c r="E222" s="385" t="s">
        <v>1513</v>
      </c>
      <c r="F222" s="385" t="s">
        <v>1514</v>
      </c>
      <c r="G222" s="385" t="s">
        <v>1514</v>
      </c>
    </row>
    <row r="223" spans="1:7" ht="56.25" x14ac:dyDescent="0.3">
      <c r="A223" s="139" t="s">
        <v>1389</v>
      </c>
      <c r="B223" s="166" t="s">
        <v>1358</v>
      </c>
      <c r="C223" s="167"/>
      <c r="D223" s="168"/>
      <c r="E223" s="166" t="s">
        <v>1358</v>
      </c>
    </row>
    <row r="224" spans="1:7" x14ac:dyDescent="0.3">
      <c r="A224" s="139"/>
      <c r="B224" s="166"/>
      <c r="C224" s="167"/>
      <c r="D224" s="168"/>
    </row>
  </sheetData>
  <autoFilter ref="A6:D223" xr:uid="{00000000-0009-0000-0000-000000000000}"/>
  <mergeCells count="3">
    <mergeCell ref="A3:D3"/>
    <mergeCell ref="E3:G3"/>
    <mergeCell ref="A1:B1"/>
  </mergeCells>
  <phoneticPr fontId="69" type="noConversion"/>
  <pageMargins left="0.25" right="0.25" top="0.75" bottom="0.75" header="0.3" footer="0.3"/>
  <pageSetup paperSize="8" scale="19" fitToHeight="0" orientation="landscape" r:id="rId1"/>
  <headerFooter>
    <oddFooter>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6" tint="0.59999389629810485"/>
    <pageSetUpPr fitToPage="1"/>
  </sheetPr>
  <dimension ref="A1:W58"/>
  <sheetViews>
    <sheetView zoomScale="60" zoomScaleNormal="60" workbookViewId="0">
      <selection activeCell="N27" sqref="N27"/>
    </sheetView>
  </sheetViews>
  <sheetFormatPr defaultColWidth="9.5703125" defaultRowHeight="15" x14ac:dyDescent="0.25"/>
  <cols>
    <col min="2" max="2" width="32" style="355" customWidth="1"/>
    <col min="3" max="3" width="16.5703125" bestFit="1" customWidth="1"/>
    <col min="4" max="4" width="23.5703125" customWidth="1"/>
    <col min="5" max="5" width="20.42578125" customWidth="1"/>
    <col min="6" max="6" width="25.5703125" customWidth="1"/>
    <col min="7" max="7" width="24.5703125" customWidth="1"/>
    <col min="8" max="8" width="23.5703125" style="356" bestFit="1" customWidth="1"/>
    <col min="9" max="9" width="23.42578125" style="356" customWidth="1"/>
    <col min="10" max="10" width="22" style="356" customWidth="1"/>
    <col min="11" max="11" width="21.42578125" style="356" bestFit="1" customWidth="1"/>
    <col min="12" max="12" width="21.42578125" style="356" customWidth="1"/>
    <col min="13" max="13" width="18.5703125" style="356" customWidth="1"/>
    <col min="14" max="14" width="42.42578125" customWidth="1"/>
    <col min="15" max="15" width="27.42578125" customWidth="1"/>
    <col min="16" max="16" width="29.5703125" bestFit="1" customWidth="1"/>
    <col min="17" max="17" width="22.5703125" customWidth="1"/>
    <col min="18" max="18" width="35.5703125" customWidth="1"/>
    <col min="19" max="19" width="14.5703125" bestFit="1" customWidth="1"/>
    <col min="21" max="21" width="26.42578125" customWidth="1"/>
    <col min="22" max="22" width="18" bestFit="1" customWidth="1"/>
  </cols>
  <sheetData>
    <row r="1" spans="1:23" ht="35.1" customHeight="1" x14ac:dyDescent="0.25">
      <c r="B1" s="568" t="str">
        <f ca="1">("Kumulatīvais progress atbildīgo iestāžu dalījumā līdz ")&amp;RIGHT(Pasākumu_līmenis!A1,11)</f>
        <v>Kumulatīvais progress atbildīgo iestāžu dalījumā līdz  31.12.2025</v>
      </c>
      <c r="C1" s="568"/>
      <c r="D1" s="568"/>
      <c r="E1" s="568"/>
      <c r="F1" s="568"/>
      <c r="G1" s="568"/>
      <c r="H1" s="568"/>
      <c r="I1" s="568"/>
      <c r="J1" s="568"/>
      <c r="K1" s="568"/>
      <c r="L1" s="568"/>
      <c r="M1" s="568"/>
      <c r="N1" s="568"/>
    </row>
    <row r="2" spans="1:23" ht="93.75" x14ac:dyDescent="0.3">
      <c r="B2" s="324"/>
      <c r="C2" s="325"/>
      <c r="D2" s="326" t="s">
        <v>1334</v>
      </c>
      <c r="E2" s="330" t="s">
        <v>1383</v>
      </c>
      <c r="F2" s="327" t="s">
        <v>1335</v>
      </c>
      <c r="G2" s="328"/>
      <c r="H2" s="326" t="s">
        <v>1336</v>
      </c>
      <c r="I2" s="329" t="s">
        <v>1315</v>
      </c>
      <c r="J2" s="327" t="s">
        <v>1337</v>
      </c>
      <c r="K2" s="330" t="s">
        <v>1379</v>
      </c>
      <c r="L2" s="330" t="s">
        <v>1382</v>
      </c>
      <c r="M2" s="329" t="s">
        <v>1316</v>
      </c>
      <c r="N2" s="454"/>
      <c r="O2" s="329" t="s">
        <v>1381</v>
      </c>
      <c r="P2" s="338" t="s">
        <v>1384</v>
      </c>
      <c r="Q2" s="434" t="s">
        <v>1534</v>
      </c>
      <c r="U2" s="329" t="s">
        <v>1536</v>
      </c>
    </row>
    <row r="3" spans="1:23" s="331" customFormat="1" ht="83.1" customHeight="1" x14ac:dyDescent="0.3">
      <c r="A3" s="331" t="s">
        <v>1317</v>
      </c>
      <c r="B3" s="332" t="s">
        <v>1318</v>
      </c>
      <c r="C3" s="333" t="s">
        <v>463</v>
      </c>
      <c r="D3" s="334" t="s">
        <v>1319</v>
      </c>
      <c r="E3" s="335" t="str">
        <f>("MK noteikumos nesadalītais finansējums ("&amp;(ROUND(E16/1000000,0)&amp;(" milj. €)")))</f>
        <v>MK noteikumos nesadalītais finansējums (12 milj. €)</v>
      </c>
      <c r="F3" s="336" t="s">
        <v>158</v>
      </c>
      <c r="G3" s="337" t="s">
        <v>1320</v>
      </c>
      <c r="H3" s="338" t="str">
        <f>("Maksājumu apjoms ("&amp;(ROUND(H16/1000000,0)&amp;(" milj. €)")))</f>
        <v>Maksājumu apjoms (4498 milj. €)</v>
      </c>
      <c r="I3" s="338" t="str">
        <f>("Līgumos plānotie, bet vēl neveiktie maksājumi ("&amp;(ROUND(I16/1000000,0)&amp;(" milj. €)")))</f>
        <v>Līgumos plānotie, bet vēl neveiktie maksājumi (355 milj. €)</v>
      </c>
      <c r="J3" s="338" t="str">
        <f>("Projektu līgumi, tai skaitā no virssaistībām ("&amp;(ROUND(J16/1000000,0)&amp;(" milj. €)")))</f>
        <v>Projektu līgumi, tai skaitā no virssaistībām (4529 milj. €)</v>
      </c>
      <c r="L3" s="338" t="str">
        <f>("Nav noslēgti līgumi par fondu finansējumu un virss. ("&amp;(ROUND(L16/1000000,0)&amp;(" milj. €)")))</f>
        <v>Nav noslēgti līgumi par fondu finansējumu un virss. (324 milj. €)</v>
      </c>
      <c r="M3" s="338" t="str">
        <f>("Līgumi uz valsts budžeta virssaistību rēķina ("&amp;(ROUND(M16/1000000,0)&amp;(" milj. €)")))</f>
        <v>Līgumi uz valsts budžeta virssaistību rēķina (0 milj. €)</v>
      </c>
      <c r="N3" s="455" t="s">
        <v>1552</v>
      </c>
      <c r="O3" s="338" t="s">
        <v>1346</v>
      </c>
      <c r="T3" s="340"/>
      <c r="U3" s="341"/>
      <c r="V3" s="341"/>
    </row>
    <row r="4" spans="1:23" s="331" customFormat="1" ht="25.35" customHeight="1" x14ac:dyDescent="0.25">
      <c r="B4" s="332">
        <v>1</v>
      </c>
      <c r="C4" s="333">
        <v>2</v>
      </c>
      <c r="D4" s="339">
        <v>3</v>
      </c>
      <c r="E4" s="332">
        <v>4</v>
      </c>
      <c r="F4" s="338">
        <v>5</v>
      </c>
      <c r="G4" s="338">
        <v>6</v>
      </c>
      <c r="H4" s="338">
        <v>7</v>
      </c>
      <c r="I4" s="338" t="s">
        <v>1321</v>
      </c>
      <c r="J4" s="338">
        <v>9</v>
      </c>
      <c r="K4" s="338">
        <v>10</v>
      </c>
      <c r="L4" s="338"/>
      <c r="M4" s="338">
        <v>11</v>
      </c>
      <c r="N4" s="339"/>
      <c r="O4" s="338"/>
      <c r="T4" s="340"/>
      <c r="U4" s="341"/>
      <c r="V4" s="341"/>
    </row>
    <row r="5" spans="1:23" ht="75" x14ac:dyDescent="0.3">
      <c r="B5" s="342" t="s">
        <v>1322</v>
      </c>
      <c r="C5" s="333" t="s">
        <v>354</v>
      </c>
      <c r="D5" s="343">
        <f>VLOOKUP(C5,AI!$A$65:$I$75,2,FALSE)+VLOOKUP(C5,AI!$A$65:$I$75,3,FALSE)+IFERROR(VLOOKUP(C5,AI!$A$80:$I$85,2,FALSE),0)+IFERROR(VLOOKUP(C5,AI!$A$80:$I$85,3,FALSE),0)</f>
        <v>8569373</v>
      </c>
      <c r="E5" s="344">
        <f>VLOOKUP(C5,AI!$A$65:$I$75,6,FALSE)+O5</f>
        <v>0</v>
      </c>
      <c r="F5" s="343">
        <f>VLOOKUP(C5,AI!$A$65:$I$75,3,FALSE)</f>
        <v>0</v>
      </c>
      <c r="G5" s="344">
        <f>VLOOKUP(C5,AI!$A$65:$I$75,7,FALSE)+IFERROR(VLOOKUP(C5,AI!$A$80:$I$85,7,FALSE),0)</f>
        <v>0</v>
      </c>
      <c r="H5" s="345">
        <f>VLOOKUP(C5,AI!$A$9:$L$19,12,FALSE)</f>
        <v>8501012.1500000004</v>
      </c>
      <c r="I5" s="345">
        <f t="shared" ref="I5:I15" si="0">D5-H5</f>
        <v>68360.849999999627</v>
      </c>
      <c r="J5" s="345">
        <f>VLOOKUP(C5,AI!$A$9:$L$19,10,FALSE)</f>
        <v>8501012.1500000004</v>
      </c>
      <c r="K5" s="345">
        <f t="shared" ref="K5:K15" si="1">D5-J5</f>
        <v>68360.849999999627</v>
      </c>
      <c r="L5" s="345">
        <f t="shared" ref="L5:L15" si="2">IF(K5&lt;0, 0,K5)</f>
        <v>68360.849999999627</v>
      </c>
      <c r="M5" s="345">
        <f t="shared" ref="M5:M15" si="3">IF(J5-D5&lt;0,0,J5-D5)</f>
        <v>0</v>
      </c>
      <c r="N5" s="378">
        <f t="shared" ref="N5:N15" si="4">D5+E5</f>
        <v>8569373</v>
      </c>
      <c r="O5" s="345"/>
      <c r="P5" s="379">
        <f>J5+L5+E5-F5</f>
        <v>8569373</v>
      </c>
      <c r="Q5" s="381">
        <f>F5+G5</f>
        <v>0</v>
      </c>
      <c r="R5" s="64"/>
      <c r="T5" s="346"/>
      <c r="U5" s="57">
        <f>SUMIFS(Pasākumu_līmenis!$AL$15:$AL$204, Pasākumu_līmenis!$E$15:$E$204,C5)</f>
        <v>0</v>
      </c>
      <c r="V5" s="57"/>
    </row>
    <row r="6" spans="1:23" ht="57.6" customHeight="1" x14ac:dyDescent="0.3">
      <c r="B6" s="342" t="s">
        <v>1323</v>
      </c>
      <c r="C6" s="333" t="s">
        <v>353</v>
      </c>
      <c r="D6" s="343">
        <f>VLOOKUP(C6,AI!$A$65:$I$75,2,FALSE)+VLOOKUP(C6,AI!$A$65:$I$75,3,FALSE)+IFERROR(VLOOKUP(C6,AI!$A$80:$I$85,2,FALSE),0)+IFERROR(VLOOKUP(C6,AI!$A$80:$I$85,3,FALSE),0)</f>
        <v>17490523</v>
      </c>
      <c r="E6" s="344">
        <f>VLOOKUP(C6,AI!$A$65:$I$75,6,FALSE)+O6</f>
        <v>0</v>
      </c>
      <c r="F6" s="343">
        <f>VLOOKUP(C6,AI!$A$65:$I$75,3,FALSE)</f>
        <v>0</v>
      </c>
      <c r="G6" s="344">
        <f>VLOOKUP(C6,AI!$A$65:$I$75,7,FALSE)+IFERROR(VLOOKUP(C6,AI!$A$80:$I$85,7,FALSE),0)</f>
        <v>0</v>
      </c>
      <c r="H6" s="345">
        <f>VLOOKUP(C6,AI!$A$9:$L$19,12,FALSE)</f>
        <v>17479673.399999999</v>
      </c>
      <c r="I6" s="345">
        <f t="shared" si="0"/>
        <v>10849.60000000149</v>
      </c>
      <c r="J6" s="345">
        <f>VLOOKUP(C6,AI!$A$9:$L$19,10,FALSE)</f>
        <v>17479673.399999999</v>
      </c>
      <c r="K6" s="345">
        <f t="shared" si="1"/>
        <v>10849.60000000149</v>
      </c>
      <c r="L6" s="345">
        <f t="shared" si="2"/>
        <v>10849.60000000149</v>
      </c>
      <c r="M6" s="345">
        <f t="shared" si="3"/>
        <v>0</v>
      </c>
      <c r="N6" s="378">
        <f t="shared" si="4"/>
        <v>17490523</v>
      </c>
      <c r="O6" s="345"/>
      <c r="P6" s="379">
        <f t="shared" ref="P6:P16" si="5">J6+L6+E6-F6</f>
        <v>17490523</v>
      </c>
      <c r="Q6" s="381">
        <f t="shared" ref="Q6:Q16" si="6">F6+G6</f>
        <v>0</v>
      </c>
      <c r="R6" s="64"/>
      <c r="T6" s="346"/>
      <c r="U6" s="57">
        <f>SUMIFS(Pasākumu_līmenis!$AL$15:$AL$204, Pasākumu_līmenis!$E$15:$E$204,C6)</f>
        <v>0</v>
      </c>
      <c r="V6" s="57"/>
    </row>
    <row r="7" spans="1:23" ht="37.5" x14ac:dyDescent="0.3">
      <c r="B7" s="342" t="s">
        <v>845</v>
      </c>
      <c r="C7" s="333" t="s">
        <v>400</v>
      </c>
      <c r="D7" s="343">
        <f>VLOOKUP(C7,AI!$A$65:$I$75,2,FALSE)+VLOOKUP(C7,AI!$A$65:$I$75,3,FALSE)+IFERROR(VLOOKUP(C7,AI!$A$80:$I$85,2,FALSE),0)+IFERROR(VLOOKUP(C7,AI!$A$80:$I$85,3,FALSE),0)</f>
        <v>36881516</v>
      </c>
      <c r="E7" s="344">
        <f>VLOOKUP(C7,AI!$A$65:$I$75,6,FALSE)+O7</f>
        <v>0</v>
      </c>
      <c r="F7" s="343">
        <f>VLOOKUP(C7,AI!$A$65:$I$75,3,FALSE)</f>
        <v>36881516</v>
      </c>
      <c r="G7" s="344">
        <f>VLOOKUP(C7,AI!$A$65:$I$75,7,FALSE)+IFERROR(VLOOKUP(C7,AI!$A$80:$I$85,7,FALSE),0)</f>
        <v>0</v>
      </c>
      <c r="H7" s="345">
        <f>VLOOKUP(C7,AI!$A$9:$L$19,12,FALSE)</f>
        <v>36460624.530000001</v>
      </c>
      <c r="I7" s="345">
        <f t="shared" si="0"/>
        <v>420891.46999999881</v>
      </c>
      <c r="J7" s="345">
        <f>VLOOKUP(C7,AI!$A$9:$L$19,10,FALSE)</f>
        <v>36460624.560000002</v>
      </c>
      <c r="K7" s="345">
        <f t="shared" si="1"/>
        <v>420891.43999999762</v>
      </c>
      <c r="L7" s="345">
        <f t="shared" si="2"/>
        <v>420891.43999999762</v>
      </c>
      <c r="M7" s="345">
        <f t="shared" si="3"/>
        <v>0</v>
      </c>
      <c r="N7" s="378">
        <f t="shared" si="4"/>
        <v>36881516</v>
      </c>
      <c r="O7" s="345"/>
      <c r="P7" s="379">
        <f t="shared" si="5"/>
        <v>0</v>
      </c>
      <c r="Q7" s="381">
        <f t="shared" si="6"/>
        <v>36881516</v>
      </c>
      <c r="R7" s="64"/>
      <c r="T7" s="346"/>
      <c r="U7" s="57">
        <f>SUMIFS(Pasākumu_līmenis!$AL$15:$AL$204, Pasākumu_līmenis!$E$15:$E$204,C7)</f>
        <v>0</v>
      </c>
      <c r="V7" s="57"/>
    </row>
    <row r="8" spans="1:23" ht="18.75" x14ac:dyDescent="0.3">
      <c r="B8" s="342" t="s">
        <v>1324</v>
      </c>
      <c r="C8" s="333" t="s">
        <v>356</v>
      </c>
      <c r="D8" s="343">
        <f>VLOOKUP(C8,AI!$A$65:$I$75,2,FALSE)+VLOOKUP(C8,AI!$A$65:$I$75,3,FALSE)+IFERROR(VLOOKUP(C8,AI!$A$80:$I$85,2,FALSE),0)+IFERROR(VLOOKUP(C8,AI!$A$80:$I$85,3,FALSE),0)</f>
        <v>101316303</v>
      </c>
      <c r="E8" s="344">
        <f>VLOOKUP(C8,AI!$A$65:$I$75,6,FALSE)+O8</f>
        <v>0</v>
      </c>
      <c r="F8" s="343">
        <f>VLOOKUP(C8,AI!$A$65:$I$75,3,FALSE)</f>
        <v>0</v>
      </c>
      <c r="G8" s="344">
        <f>VLOOKUP(C8,AI!$A$65:$I$75,7,FALSE)+IFERROR(VLOOKUP(C8,AI!$A$80:$I$85,7,FALSE),0)</f>
        <v>0</v>
      </c>
      <c r="H8" s="345">
        <f>VLOOKUP(C8,AI!$A$9:$L$19,12,FALSE)</f>
        <v>100806240.3</v>
      </c>
      <c r="I8" s="345">
        <f t="shared" si="0"/>
        <v>510062.70000000298</v>
      </c>
      <c r="J8" s="345">
        <f>VLOOKUP(C8,AI!$A$9:$L$19,10,FALSE)</f>
        <v>100806405.58</v>
      </c>
      <c r="K8" s="345">
        <f t="shared" si="1"/>
        <v>509897.42000000179</v>
      </c>
      <c r="L8" s="345">
        <f t="shared" si="2"/>
        <v>509897.42000000179</v>
      </c>
      <c r="M8" s="345">
        <f t="shared" si="3"/>
        <v>0</v>
      </c>
      <c r="N8" s="378">
        <f t="shared" si="4"/>
        <v>101316303</v>
      </c>
      <c r="O8" s="345"/>
      <c r="P8" s="379">
        <f t="shared" si="5"/>
        <v>101316303</v>
      </c>
      <c r="Q8" s="381">
        <f t="shared" si="6"/>
        <v>0</v>
      </c>
      <c r="R8" s="64"/>
      <c r="T8" s="346"/>
      <c r="U8" s="57">
        <f>SUMIFS(Pasākumu_līmenis!$AL$15:$AL$204, Pasākumu_līmenis!$E$15:$E$204,C8)</f>
        <v>0</v>
      </c>
      <c r="V8" s="57"/>
      <c r="W8" t="s">
        <v>1325</v>
      </c>
    </row>
    <row r="9" spans="1:23" ht="61.5" customHeight="1" x14ac:dyDescent="0.3">
      <c r="B9" s="342" t="s">
        <v>1326</v>
      </c>
      <c r="C9" s="333" t="s">
        <v>355</v>
      </c>
      <c r="D9" s="343">
        <f>VLOOKUP(C9,AI!$A$65:$I$75,2,FALSE)+VLOOKUP(C9,AI!$A$65:$I$75,3,FALSE)+IFERROR(VLOOKUP(C9,AI!$A$80:$I$85,2,FALSE),0)+IFERROR(VLOOKUP(C9,AI!$A$80:$I$85,3,FALSE),0)</f>
        <v>136168744</v>
      </c>
      <c r="E9" s="344">
        <f>VLOOKUP(C9,AI!$A$65:$I$75,6,FALSE)+O9</f>
        <v>0</v>
      </c>
      <c r="F9" s="343">
        <f>VLOOKUP(C9,AI!$A$65:$I$75,3,FALSE)</f>
        <v>0</v>
      </c>
      <c r="G9" s="344">
        <f>VLOOKUP(C9,AI!$A$65:$I$75,7,FALSE)+IFERROR(VLOOKUP(C9,AI!$A$80:$I$85,7,FALSE),0)</f>
        <v>0</v>
      </c>
      <c r="H9" s="345">
        <f>VLOOKUP(C9,AI!$A$9:$L$19,12,FALSE)</f>
        <v>126988112.90000001</v>
      </c>
      <c r="I9" s="345">
        <f t="shared" si="0"/>
        <v>9180631.099999994</v>
      </c>
      <c r="J9" s="345">
        <f>VLOOKUP(C9,AI!$A$9:$L$19,10,FALSE)</f>
        <v>130290148.34</v>
      </c>
      <c r="K9" s="345">
        <f t="shared" si="1"/>
        <v>5878595.6599999964</v>
      </c>
      <c r="L9" s="345">
        <f t="shared" si="2"/>
        <v>5878595.6599999964</v>
      </c>
      <c r="M9" s="345">
        <f t="shared" si="3"/>
        <v>0</v>
      </c>
      <c r="N9" s="378">
        <f t="shared" si="4"/>
        <v>136168744</v>
      </c>
      <c r="O9" s="345">
        <f>AI!F82</f>
        <v>0</v>
      </c>
      <c r="P9" s="379">
        <f>J9+L9+E9-F9</f>
        <v>136168744</v>
      </c>
      <c r="Q9" s="381">
        <f t="shared" si="6"/>
        <v>0</v>
      </c>
      <c r="R9" s="64"/>
      <c r="S9" s="381"/>
      <c r="T9" s="346"/>
      <c r="U9" s="57">
        <f>SUMIFS(Pasākumu_līmenis!$AL$15:$AL$204, Pasākumu_līmenis!$E$15:$E$204,C9)</f>
        <v>0</v>
      </c>
      <c r="V9" s="57"/>
    </row>
    <row r="10" spans="1:23" ht="80.849999999999994" customHeight="1" x14ac:dyDescent="0.3">
      <c r="B10" s="342" t="s">
        <v>1327</v>
      </c>
      <c r="C10" s="333" t="s">
        <v>352</v>
      </c>
      <c r="D10" s="343">
        <f>VLOOKUP(C10,AI!$A$65:$I$75,2,FALSE)+VLOOKUP(C10,AI!$A$65:$I$75,3,FALSE)+IFERROR(VLOOKUP(C10,AI!$A$80:$I$85,2,FALSE),0)+IFERROR(VLOOKUP(C10,AI!$A$80:$I$85,3,FALSE),0)</f>
        <v>360681325</v>
      </c>
      <c r="E10" s="344">
        <f>VLOOKUP(C10,AI!$A$65:$I$75,6,FALSE)+O10</f>
        <v>0</v>
      </c>
      <c r="F10" s="343">
        <f>VLOOKUP(C10,AI!$A$65:$I$75,3,FALSE)</f>
        <v>14530393</v>
      </c>
      <c r="G10" s="344">
        <f>VLOOKUP(C10,AI!$A$65:$I$75,7,FALSE)+IFERROR(VLOOKUP(C10,AI!$A$80:$I$85,7,FALSE),0)</f>
        <v>0</v>
      </c>
      <c r="H10" s="345">
        <f>VLOOKUP(C10,AI!$A$9:$L$19,12,FALSE)</f>
        <v>316146400.28999996</v>
      </c>
      <c r="I10" s="345">
        <f t="shared" si="0"/>
        <v>44534924.710000038</v>
      </c>
      <c r="J10" s="345">
        <f>VLOOKUP(C10,AI!$A$9:$L$19,10,FALSE)</f>
        <v>322214366.90999997</v>
      </c>
      <c r="K10" s="345">
        <f t="shared" si="1"/>
        <v>38466958.090000033</v>
      </c>
      <c r="L10" s="345">
        <f t="shared" si="2"/>
        <v>38466958.090000033</v>
      </c>
      <c r="M10" s="345">
        <f t="shared" si="3"/>
        <v>0</v>
      </c>
      <c r="N10" s="378">
        <f t="shared" si="4"/>
        <v>360681325</v>
      </c>
      <c r="O10" s="345">
        <f>AI!F85</f>
        <v>0</v>
      </c>
      <c r="P10" s="379">
        <f t="shared" si="5"/>
        <v>346150932</v>
      </c>
      <c r="Q10" s="381">
        <f t="shared" si="6"/>
        <v>14530393</v>
      </c>
      <c r="R10" s="64"/>
      <c r="S10" s="381"/>
      <c r="T10" s="346"/>
      <c r="U10" s="57">
        <f>SUMIFS(Pasākumu_līmenis!$AL$15:$AL$204, Pasākumu_līmenis!$E$15:$E$204,C10)</f>
        <v>0</v>
      </c>
      <c r="V10" s="57"/>
    </row>
    <row r="11" spans="1:23" ht="37.5" x14ac:dyDescent="0.3">
      <c r="B11" s="342" t="s">
        <v>1328</v>
      </c>
      <c r="C11" s="333" t="s">
        <v>351</v>
      </c>
      <c r="D11" s="343">
        <f>VLOOKUP(C11,AI!$A$65:$I$75,2,FALSE)+VLOOKUP(C11,AI!$A$65:$I$75,3,FALSE)+IFERROR(VLOOKUP(C11,AI!$A$80:$I$85,2,FALSE),0)+IFERROR(VLOOKUP(C11,AI!$A$80:$I$85,3,FALSE),0)</f>
        <v>393309403</v>
      </c>
      <c r="E11" s="344">
        <f>VLOOKUP(C11,AI!$A$65:$I$75,6,FALSE)+O11</f>
        <v>0</v>
      </c>
      <c r="F11" s="343">
        <f>VLOOKUP(C11,AI!$A$65:$I$75,3,FALSE)</f>
        <v>782851</v>
      </c>
      <c r="G11" s="344">
        <f>VLOOKUP(C11,AI!$A$65:$I$75,7,FALSE)+IFERROR(VLOOKUP(C11,AI!$A$80:$I$85,7,FALSE),0)</f>
        <v>0</v>
      </c>
      <c r="H11" s="345">
        <f>VLOOKUP(C11,AI!$A$9:$L$19,12,FALSE)</f>
        <v>385415128.04999995</v>
      </c>
      <c r="I11" s="345">
        <f t="shared" si="0"/>
        <v>7894274.9500000477</v>
      </c>
      <c r="J11" s="345">
        <f>VLOOKUP(C11,AI!$A$9:$L$19,10,FALSE)</f>
        <v>386011400.57999998</v>
      </c>
      <c r="K11" s="345">
        <f t="shared" si="1"/>
        <v>7298002.4200000167</v>
      </c>
      <c r="L11" s="345">
        <f t="shared" si="2"/>
        <v>7298002.4200000167</v>
      </c>
      <c r="M11" s="345">
        <f t="shared" si="3"/>
        <v>0</v>
      </c>
      <c r="N11" s="378">
        <f t="shared" si="4"/>
        <v>393309403</v>
      </c>
      <c r="O11" s="345">
        <f>AI!F83</f>
        <v>0</v>
      </c>
      <c r="P11" s="379">
        <f t="shared" si="5"/>
        <v>392526552</v>
      </c>
      <c r="Q11" s="381">
        <f t="shared" si="6"/>
        <v>782851</v>
      </c>
      <c r="R11" s="64"/>
      <c r="S11" s="381"/>
      <c r="T11" s="346"/>
      <c r="U11" s="57">
        <f>SUMIFS(Pasākumu_līmenis!$AL$15:$AL$204, Pasākumu_līmenis!$E$15:$E$204,C11)</f>
        <v>-609727.16000000015</v>
      </c>
      <c r="V11" s="57"/>
    </row>
    <row r="12" spans="1:23" ht="56.25" x14ac:dyDescent="0.3">
      <c r="B12" s="342" t="s">
        <v>1329</v>
      </c>
      <c r="C12" s="333" t="s">
        <v>350</v>
      </c>
      <c r="D12" s="343">
        <f>VLOOKUP(C12,AI!$A$65:$I$75,2,FALSE)+VLOOKUP(C12,AI!$A$65:$I$75,3,FALSE)+IFERROR(VLOOKUP(C12,AI!$A$80:$I$85,2,FALSE),0)+IFERROR(VLOOKUP(C12,AI!$A$80:$I$85,3,FALSE),0)</f>
        <v>792155768</v>
      </c>
      <c r="E12" s="344">
        <f>VLOOKUP(C12,AI!$A$65:$I$75,6,FALSE)+O12</f>
        <v>1059959</v>
      </c>
      <c r="F12" s="343">
        <f>VLOOKUP(C12,AI!$A$65:$I$75,3,FALSE)</f>
        <v>46914125</v>
      </c>
      <c r="G12" s="344">
        <f>VLOOKUP(C12,AI!$A$65:$I$75,7,FALSE)+IFERROR(VLOOKUP(C12,AI!$A$80:$I$85,7,FALSE),0)</f>
        <v>0</v>
      </c>
      <c r="H12" s="345">
        <f>VLOOKUP(C12,AI!$A$9:$L$19,12,FALSE)</f>
        <v>736415509.80999994</v>
      </c>
      <c r="I12" s="345">
        <f t="shared" si="0"/>
        <v>55740258.190000057</v>
      </c>
      <c r="J12" s="345">
        <f>VLOOKUP(C12,AI!$A$9:$L$19,10,FALSE)</f>
        <v>737125344.76999998</v>
      </c>
      <c r="K12" s="345">
        <f t="shared" si="1"/>
        <v>55030423.230000019</v>
      </c>
      <c r="L12" s="345">
        <f t="shared" si="2"/>
        <v>55030423.230000019</v>
      </c>
      <c r="M12" s="345">
        <f t="shared" si="3"/>
        <v>0</v>
      </c>
      <c r="N12" s="378">
        <f t="shared" si="4"/>
        <v>793215727</v>
      </c>
      <c r="O12" s="345">
        <f>AI!F84</f>
        <v>0</v>
      </c>
      <c r="P12" s="379">
        <f t="shared" si="5"/>
        <v>746301602</v>
      </c>
      <c r="Q12" s="381">
        <f t="shared" si="6"/>
        <v>46914125</v>
      </c>
      <c r="R12" s="64"/>
      <c r="S12" s="381"/>
      <c r="T12" s="346"/>
      <c r="U12" s="57">
        <f>SUMIFS(Pasākumu_līmenis!$AL$15:$AL$204, Pasākumu_līmenis!$E$15:$E$204,C12)</f>
        <v>0</v>
      </c>
      <c r="V12" s="57"/>
    </row>
    <row r="13" spans="1:23" ht="37.5" x14ac:dyDescent="0.3">
      <c r="B13" s="342" t="s">
        <v>1331</v>
      </c>
      <c r="C13" s="333" t="s">
        <v>348</v>
      </c>
      <c r="D13" s="343">
        <f>VLOOKUP(C13,AI!$A$65:$I$75,2,FALSE)+VLOOKUP(C13,AI!$A$65:$I$75,3,FALSE)+IFERROR(VLOOKUP(C13,AI!$A$80:$I$85,2,FALSE),0)+IFERROR(VLOOKUP(C13,AI!$A$80:$I$85,3,FALSE),0)</f>
        <v>840272999</v>
      </c>
      <c r="E13" s="344">
        <f>VLOOKUP(C13,AI!$A$65:$I$75,6,FALSE)+O13</f>
        <v>3303845</v>
      </c>
      <c r="F13" s="343">
        <f>VLOOKUP(C13,AI!$A$65:$I$75,3,FALSE)</f>
        <v>8534803</v>
      </c>
      <c r="G13" s="344">
        <f>VLOOKUP(C13,AI!$A$65:$I$75,7,FALSE)+IFERROR(VLOOKUP(C13,AI!$A$80:$I$85,7,FALSE),0)</f>
        <v>0</v>
      </c>
      <c r="H13" s="345">
        <f>VLOOKUP(C13,AI!$A$9:$L$19,12,FALSE)</f>
        <v>809325170.66999984</v>
      </c>
      <c r="I13" s="345">
        <f t="shared" si="0"/>
        <v>30947828.330000162</v>
      </c>
      <c r="J13" s="345">
        <f>VLOOKUP(C13,AI!$A$9:$L$19,10,FALSE)</f>
        <v>816446257.27999961</v>
      </c>
      <c r="K13" s="345">
        <f t="shared" si="1"/>
        <v>23826741.720000386</v>
      </c>
      <c r="L13" s="345">
        <f t="shared" si="2"/>
        <v>23826741.720000386</v>
      </c>
      <c r="M13" s="345">
        <f t="shared" si="3"/>
        <v>0</v>
      </c>
      <c r="N13" s="378">
        <f t="shared" si="4"/>
        <v>843576844</v>
      </c>
      <c r="O13" s="345">
        <f>AI!F81</f>
        <v>2524642</v>
      </c>
      <c r="P13" s="379">
        <f t="shared" si="5"/>
        <v>835042041</v>
      </c>
      <c r="Q13" s="381">
        <f t="shared" si="6"/>
        <v>8534803</v>
      </c>
      <c r="R13" s="64"/>
      <c r="S13" s="381"/>
      <c r="T13" s="346"/>
      <c r="U13" s="57">
        <f>SUMIFS(Pasākumu_līmenis!$AL$15:$AL$204, Pasākumu_līmenis!$E$15:$E$204,C13)</f>
        <v>0</v>
      </c>
      <c r="V13" s="57"/>
    </row>
    <row r="14" spans="1:23" ht="73.349999999999994" customHeight="1" x14ac:dyDescent="0.3">
      <c r="B14" s="342" t="s">
        <v>1330</v>
      </c>
      <c r="C14" s="333" t="s">
        <v>349</v>
      </c>
      <c r="D14" s="343">
        <f>VLOOKUP(C14,AI!$A$65:$I$75,2,FALSE)+VLOOKUP(C14,AI!$A$65:$I$75,3,FALSE)+IFERROR(VLOOKUP(C14,AI!$A$80:$I$85,2,FALSE),0)+IFERROR(VLOOKUP(C14,AI!$A$80:$I$85,3,FALSE),0)</f>
        <v>950614350</v>
      </c>
      <c r="E14" s="344">
        <f>VLOOKUP(C14,AI!$A$65:$I$75,6,FALSE)+O14</f>
        <v>7399760</v>
      </c>
      <c r="F14" s="343">
        <f>VLOOKUP(C14,AI!$A$65:$I$75,3,FALSE)</f>
        <v>116550001</v>
      </c>
      <c r="G14" s="344">
        <f>VLOOKUP(C14,AI!$A$65:$I$75,7,FALSE)+IFERROR(VLOOKUP(C14,AI!$A$80:$I$85,7,FALSE),0)</f>
        <v>-7399760</v>
      </c>
      <c r="H14" s="345">
        <f>VLOOKUP(C14,AI!$A$9:$L$19,12,FALSE)</f>
        <v>846279846.61999977</v>
      </c>
      <c r="I14" s="345">
        <f>D14-H14</f>
        <v>104334503.38000023</v>
      </c>
      <c r="J14" s="345">
        <f>VLOOKUP(C14,AI!$A$9:$L$19,10,FALSE)</f>
        <v>860769575.8599999</v>
      </c>
      <c r="K14" s="345">
        <f>D14-J14</f>
        <v>89844774.140000105</v>
      </c>
      <c r="L14" s="345">
        <f>IF(K14&lt;0, 0,K14)</f>
        <v>89844774.140000105</v>
      </c>
      <c r="M14" s="345">
        <f>IF(J14-D14&lt;0,0,J14-D14)</f>
        <v>0</v>
      </c>
      <c r="N14" s="378">
        <f>D14+E14</f>
        <v>958014110</v>
      </c>
      <c r="O14" s="345">
        <f>AI!F80</f>
        <v>0</v>
      </c>
      <c r="P14" s="379">
        <f>J14+L14+E14-F14</f>
        <v>841464109</v>
      </c>
      <c r="Q14" s="381">
        <f>F14+G14</f>
        <v>109150241</v>
      </c>
      <c r="R14" s="64"/>
      <c r="S14" s="381"/>
      <c r="T14" s="346"/>
      <c r="U14" s="57">
        <f>SUMIFS(Pasākumu_līmenis!$AL$15:$AL$204, Pasākumu_līmenis!$E$15:$E$204,C14)</f>
        <v>0</v>
      </c>
      <c r="V14" s="57"/>
    </row>
    <row r="15" spans="1:23" ht="18.75" x14ac:dyDescent="0.3">
      <c r="B15" s="342" t="s">
        <v>1332</v>
      </c>
      <c r="C15" s="333" t="s">
        <v>347</v>
      </c>
      <c r="D15" s="343">
        <f>VLOOKUP(C15,AI!$A$65:$I$75,2,FALSE)+VLOOKUP(C15,AI!$A$65:$I$75,3,FALSE)+IFERROR(VLOOKUP(C15,AI!$A$80:$I$85,2,FALSE),0)+IFERROR(VLOOKUP(C15,AI!$A$80:$I$85,3,FALSE),0)</f>
        <v>1215646611</v>
      </c>
      <c r="E15" s="344">
        <f>VLOOKUP(C15,AI!$A$65:$I$75,6,FALSE)+O15</f>
        <v>0</v>
      </c>
      <c r="F15" s="343">
        <f>VLOOKUP(C15,AI!$A$65:$I$75,3,FALSE)</f>
        <v>0</v>
      </c>
      <c r="G15" s="344">
        <f>VLOOKUP(C15,AI!$A$65:$I$75,7,FALSE)+IFERROR(VLOOKUP(C15,AI!$A$80:$I$85,7,FALSE),0)</f>
        <v>0</v>
      </c>
      <c r="H15" s="345">
        <f>VLOOKUP(C15,AI!$A$9:$L$19,12,FALSE)</f>
        <v>1113875342.8400002</v>
      </c>
      <c r="I15" s="345">
        <f t="shared" si="0"/>
        <v>101771268.15999985</v>
      </c>
      <c r="J15" s="345">
        <f>VLOOKUP(C15,AI!$A$9:$L$19,10,FALSE)</f>
        <v>1113173329.1500001</v>
      </c>
      <c r="K15" s="345">
        <f t="shared" si="1"/>
        <v>102473281.8499999</v>
      </c>
      <c r="L15" s="345">
        <f t="shared" si="2"/>
        <v>102473281.8499999</v>
      </c>
      <c r="M15" s="345">
        <f t="shared" si="3"/>
        <v>0</v>
      </c>
      <c r="N15" s="378">
        <f t="shared" si="4"/>
        <v>1215646611</v>
      </c>
      <c r="O15" s="345"/>
      <c r="P15" s="379">
        <f t="shared" si="5"/>
        <v>1215646611</v>
      </c>
      <c r="Q15" s="381">
        <f t="shared" si="6"/>
        <v>0</v>
      </c>
      <c r="U15" s="57">
        <f>SUMIFS(Pasākumu_līmenis!$AL$15:$AL$204, Pasākumu_līmenis!$E$15:$E$204,C15)</f>
        <v>0</v>
      </c>
      <c r="V15" s="57"/>
    </row>
    <row r="16" spans="1:23" ht="18.75" x14ac:dyDescent="0.3">
      <c r="B16" s="347"/>
      <c r="C16" s="569" t="s">
        <v>1333</v>
      </c>
      <c r="D16" s="348">
        <f t="shared" ref="D16:M16" si="7">SUM(D5:D15)</f>
        <v>4853106915</v>
      </c>
      <c r="E16" s="348">
        <f t="shared" si="7"/>
        <v>11763564</v>
      </c>
      <c r="F16" s="348">
        <f t="shared" si="7"/>
        <v>224193689</v>
      </c>
      <c r="G16" s="348">
        <f t="shared" si="7"/>
        <v>-7399760</v>
      </c>
      <c r="H16" s="349">
        <f t="shared" si="7"/>
        <v>4497693061.5599995</v>
      </c>
      <c r="I16" s="349">
        <f>SUM(I5:I15)</f>
        <v>355413853.44000041</v>
      </c>
      <c r="J16" s="348">
        <f>SUM(J5:J15)</f>
        <v>4529278138.5799999</v>
      </c>
      <c r="K16" s="348">
        <f>SUMIFS(K5:K15,K5:K15,"&gt;0")</f>
        <v>323828776.42000043</v>
      </c>
      <c r="L16" s="348">
        <f>SUMIFS(L5:L15,L5:L15,"&gt;0")</f>
        <v>323828776.42000043</v>
      </c>
      <c r="M16" s="348">
        <f t="shared" si="7"/>
        <v>0</v>
      </c>
      <c r="N16" s="380">
        <f>SUM(N5:N15)</f>
        <v>4864870479</v>
      </c>
      <c r="O16" s="348">
        <f>SUM(O5:O15)</f>
        <v>2524642</v>
      </c>
      <c r="P16" s="379">
        <f t="shared" si="5"/>
        <v>4640676790</v>
      </c>
      <c r="Q16" s="381">
        <f t="shared" si="6"/>
        <v>216793929</v>
      </c>
      <c r="U16" s="57"/>
    </row>
    <row r="17" spans="2:16" ht="18.75" x14ac:dyDescent="0.3">
      <c r="B17" s="350"/>
      <c r="C17" s="569"/>
      <c r="D17" s="570">
        <f>SUM(D16:E16)</f>
        <v>4864870479</v>
      </c>
      <c r="E17" s="570"/>
      <c r="F17" s="571">
        <f>SUM(F16:G16)</f>
        <v>216793929</v>
      </c>
      <c r="G17" s="572"/>
      <c r="H17" s="351"/>
      <c r="I17" s="351"/>
      <c r="J17" s="351"/>
      <c r="K17" s="351"/>
      <c r="L17" s="351"/>
      <c r="M17" s="351"/>
      <c r="N17" s="325"/>
      <c r="P17" s="381"/>
    </row>
    <row r="18" spans="2:16" ht="18.75" x14ac:dyDescent="0.3">
      <c r="B18" s="350"/>
      <c r="C18" s="325"/>
      <c r="D18" s="352"/>
      <c r="E18" s="353"/>
      <c r="F18" s="325"/>
      <c r="G18" s="325"/>
      <c r="H18" s="353">
        <f>D17-J16</f>
        <v>335592340.42000008</v>
      </c>
      <c r="I18" s="354"/>
      <c r="J18" s="353"/>
      <c r="K18" s="382">
        <f>K9+K10+K13</f>
        <v>68172295.470000416</v>
      </c>
      <c r="L18" s="351"/>
      <c r="M18" s="351"/>
      <c r="N18" s="325"/>
    </row>
    <row r="19" spans="2:16" x14ac:dyDescent="0.25">
      <c r="E19" s="64"/>
      <c r="G19" s="356"/>
      <c r="H19" s="64"/>
      <c r="I19" s="64"/>
      <c r="J19" s="64"/>
      <c r="K19" s="64"/>
      <c r="L19" s="64"/>
    </row>
    <row r="20" spans="2:16" x14ac:dyDescent="0.25">
      <c r="E20" s="64"/>
      <c r="G20" s="356"/>
      <c r="H20" s="64"/>
      <c r="I20" s="64"/>
      <c r="J20" s="64"/>
      <c r="K20" s="64"/>
      <c r="L20" s="64"/>
    </row>
    <row r="21" spans="2:16" x14ac:dyDescent="0.25">
      <c r="E21" s="64"/>
      <c r="H21" s="64"/>
      <c r="I21" s="64"/>
      <c r="J21" s="64"/>
      <c r="K21" s="64"/>
      <c r="L21" s="64"/>
    </row>
    <row r="22" spans="2:16" x14ac:dyDescent="0.25">
      <c r="E22" s="64"/>
      <c r="H22" s="64"/>
      <c r="I22" s="64"/>
      <c r="J22" s="64"/>
      <c r="K22" s="64"/>
      <c r="L22" s="64"/>
    </row>
    <row r="23" spans="2:16" ht="23.25" x14ac:dyDescent="0.25">
      <c r="E23" s="64"/>
      <c r="H23" s="64"/>
      <c r="I23" s="64"/>
      <c r="J23" s="64"/>
      <c r="K23" s="64"/>
      <c r="L23" s="64"/>
      <c r="O23" s="357"/>
    </row>
    <row r="24" spans="2:16" ht="23.25" x14ac:dyDescent="0.35">
      <c r="E24" s="64"/>
      <c r="H24" s="64"/>
      <c r="I24" s="64"/>
      <c r="J24" s="64"/>
      <c r="K24" s="64"/>
      <c r="L24" s="64"/>
      <c r="M24" s="358"/>
      <c r="O24" s="357"/>
    </row>
    <row r="25" spans="2:16" ht="23.25" x14ac:dyDescent="0.25">
      <c r="E25" s="64"/>
      <c r="H25" s="64"/>
      <c r="I25" s="64"/>
      <c r="J25" s="64"/>
      <c r="K25" s="64"/>
      <c r="L25" s="64"/>
      <c r="O25" s="357"/>
    </row>
    <row r="26" spans="2:16" ht="23.25" x14ac:dyDescent="0.25">
      <c r="E26" s="64"/>
      <c r="H26" s="64"/>
      <c r="I26" s="64"/>
      <c r="J26" s="64"/>
      <c r="K26" s="64"/>
      <c r="L26" s="64"/>
      <c r="O26" s="357"/>
    </row>
    <row r="27" spans="2:16" ht="23.25" x14ac:dyDescent="0.25">
      <c r="E27" s="64"/>
      <c r="H27" s="64"/>
      <c r="I27" s="64"/>
      <c r="J27" s="64"/>
      <c r="K27" s="64"/>
      <c r="L27" s="64"/>
      <c r="O27" s="357"/>
    </row>
    <row r="28" spans="2:16" ht="23.25" x14ac:dyDescent="0.25">
      <c r="E28" s="64"/>
      <c r="H28" s="64"/>
      <c r="I28" s="64"/>
      <c r="J28" s="64"/>
      <c r="K28" s="64"/>
      <c r="L28" s="64"/>
      <c r="O28" s="357"/>
    </row>
    <row r="29" spans="2:16" ht="23.25" x14ac:dyDescent="0.25">
      <c r="E29" s="64"/>
      <c r="H29" s="64"/>
      <c r="I29" s="64"/>
      <c r="J29" s="64"/>
      <c r="K29" s="64"/>
      <c r="L29" s="64"/>
      <c r="O29" s="357"/>
    </row>
    <row r="30" spans="2:16" ht="23.25" x14ac:dyDescent="0.25">
      <c r="O30" s="357"/>
    </row>
    <row r="31" spans="2:16" ht="23.25" x14ac:dyDescent="0.25">
      <c r="O31" s="357"/>
    </row>
    <row r="32" spans="2:16" ht="26.25" x14ac:dyDescent="0.4">
      <c r="M32" s="359"/>
      <c r="O32" s="357"/>
    </row>
    <row r="33" spans="13:15" ht="26.25" x14ac:dyDescent="0.4">
      <c r="M33" s="359"/>
      <c r="O33" s="357"/>
    </row>
    <row r="45" spans="13:15" ht="26.25" x14ac:dyDescent="0.4">
      <c r="M45" s="359"/>
    </row>
    <row r="46" spans="13:15" ht="26.25" x14ac:dyDescent="0.4">
      <c r="M46" s="359"/>
    </row>
    <row r="48" spans="13:15" ht="23.25" x14ac:dyDescent="0.25">
      <c r="O48" s="360"/>
    </row>
    <row r="49" spans="15:15" ht="23.25" x14ac:dyDescent="0.25">
      <c r="O49" s="360"/>
    </row>
    <row r="50" spans="15:15" ht="23.25" x14ac:dyDescent="0.25">
      <c r="O50" s="360"/>
    </row>
    <row r="51" spans="15:15" ht="23.25" x14ac:dyDescent="0.25">
      <c r="O51" s="360"/>
    </row>
    <row r="52" spans="15:15" ht="23.25" x14ac:dyDescent="0.25">
      <c r="O52" s="360"/>
    </row>
    <row r="53" spans="15:15" ht="23.25" x14ac:dyDescent="0.25">
      <c r="O53" s="360"/>
    </row>
    <row r="54" spans="15:15" ht="23.25" x14ac:dyDescent="0.25">
      <c r="O54" s="360"/>
    </row>
    <row r="55" spans="15:15" ht="23.25" x14ac:dyDescent="0.25">
      <c r="O55" s="360"/>
    </row>
    <row r="56" spans="15:15" ht="23.25" x14ac:dyDescent="0.25">
      <c r="O56" s="360"/>
    </row>
    <row r="57" spans="15:15" ht="23.25" x14ac:dyDescent="0.25">
      <c r="O57" s="360"/>
    </row>
    <row r="58" spans="15:15" ht="23.25" x14ac:dyDescent="0.25">
      <c r="O58" s="360"/>
    </row>
  </sheetData>
  <autoFilter ref="C3:N3" xr:uid="{00000000-0009-0000-0000-00000A000000}">
    <sortState xmlns:xlrd2="http://schemas.microsoft.com/office/spreadsheetml/2017/richdata2" ref="C4:L15">
      <sortCondition ref="J3"/>
    </sortState>
  </autoFilter>
  <sortState xmlns:xlrd2="http://schemas.microsoft.com/office/spreadsheetml/2017/richdata2" ref="B5:P15">
    <sortCondition ref="P5:P15"/>
  </sortState>
  <mergeCells count="4">
    <mergeCell ref="B1:N1"/>
    <mergeCell ref="C16:C17"/>
    <mergeCell ref="D17:E17"/>
    <mergeCell ref="F17:G17"/>
  </mergeCells>
  <conditionalFormatting sqref="C5:C15">
    <cfRule type="duplicateValues" dxfId="0" priority="1"/>
  </conditionalFormatting>
  <pageMargins left="0.25" right="0.25" top="0.75" bottom="0.75" header="0.3" footer="0.3"/>
  <pageSetup scale="3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theme="6" tint="0.59999389629810485"/>
    <outlinePr summaryBelow="0"/>
  </sheetPr>
  <dimension ref="A1:D129"/>
  <sheetViews>
    <sheetView showGridLines="0" workbookViewId="0">
      <selection activeCell="L16" sqref="L16"/>
    </sheetView>
  </sheetViews>
  <sheetFormatPr defaultColWidth="9.42578125" defaultRowHeight="15" x14ac:dyDescent="0.25"/>
  <sheetData>
    <row r="1" spans="1:4" ht="22.5" x14ac:dyDescent="0.25">
      <c r="A1" s="275" t="s">
        <v>1279</v>
      </c>
    </row>
    <row r="3" spans="1:4" x14ac:dyDescent="0.25">
      <c r="A3" s="274" t="s">
        <v>1278</v>
      </c>
    </row>
    <row r="4" spans="1:4" x14ac:dyDescent="0.25">
      <c r="A4" s="274" t="s">
        <v>1277</v>
      </c>
    </row>
    <row r="6" spans="1:4" ht="10.5" customHeight="1" x14ac:dyDescent="0.25">
      <c r="A6" s="573" t="s">
        <v>1276</v>
      </c>
      <c r="B6" s="573"/>
      <c r="C6" s="573"/>
      <c r="D6" s="573"/>
    </row>
    <row r="7" spans="1:4" ht="10.5" customHeight="1" x14ac:dyDescent="0.25">
      <c r="A7" s="574" t="s">
        <v>1275</v>
      </c>
      <c r="B7" s="574"/>
      <c r="C7" s="574"/>
      <c r="D7" s="574"/>
    </row>
    <row r="8" spans="1:4" ht="10.5" customHeight="1" x14ac:dyDescent="0.25">
      <c r="A8" s="574" t="s">
        <v>1274</v>
      </c>
      <c r="B8" s="574"/>
      <c r="C8" s="574"/>
      <c r="D8" s="574"/>
    </row>
    <row r="10" spans="1:4" x14ac:dyDescent="0.25">
      <c r="A10" s="575" t="s">
        <v>1273</v>
      </c>
      <c r="B10" s="575"/>
      <c r="C10" s="575"/>
      <c r="D10" s="575"/>
    </row>
    <row r="12" spans="1:4" ht="33.75" x14ac:dyDescent="0.25">
      <c r="A12" s="273" t="s">
        <v>1272</v>
      </c>
      <c r="B12" s="273" t="s">
        <v>1271</v>
      </c>
      <c r="C12" s="273" t="s">
        <v>1270</v>
      </c>
      <c r="D12" s="272" t="s">
        <v>1269</v>
      </c>
    </row>
    <row r="13" spans="1:4" ht="67.5" x14ac:dyDescent="0.25">
      <c r="A13" s="271" t="s">
        <v>428</v>
      </c>
      <c r="B13" s="271" t="s">
        <v>239</v>
      </c>
      <c r="C13" s="271" t="s">
        <v>1268</v>
      </c>
      <c r="D13" s="270">
        <v>65035942</v>
      </c>
    </row>
    <row r="14" spans="1:4" ht="67.5" x14ac:dyDescent="0.25">
      <c r="A14" s="271" t="s">
        <v>428</v>
      </c>
      <c r="B14" s="271" t="s">
        <v>240</v>
      </c>
      <c r="C14" s="271" t="s">
        <v>1268</v>
      </c>
      <c r="D14" s="270">
        <v>54424846</v>
      </c>
    </row>
    <row r="15" spans="1:4" ht="67.5" x14ac:dyDescent="0.25">
      <c r="A15" s="271" t="s">
        <v>428</v>
      </c>
      <c r="B15" s="271" t="s">
        <v>241</v>
      </c>
      <c r="C15" s="271" t="s">
        <v>1268</v>
      </c>
      <c r="D15" s="270">
        <v>20535658</v>
      </c>
    </row>
    <row r="16" spans="1:4" ht="67.5" x14ac:dyDescent="0.25">
      <c r="A16" s="271" t="s">
        <v>428</v>
      </c>
      <c r="B16" s="271" t="s">
        <v>242</v>
      </c>
      <c r="C16" s="271" t="s">
        <v>1268</v>
      </c>
      <c r="D16" s="270">
        <v>111453724</v>
      </c>
    </row>
    <row r="17" spans="1:4" ht="67.5" x14ac:dyDescent="0.25">
      <c r="A17" s="271" t="s">
        <v>428</v>
      </c>
      <c r="B17" s="271" t="s">
        <v>243</v>
      </c>
      <c r="C17" s="271" t="s">
        <v>1268</v>
      </c>
      <c r="D17" s="270">
        <v>32034210</v>
      </c>
    </row>
    <row r="18" spans="1:4" ht="67.5" x14ac:dyDescent="0.25">
      <c r="A18" s="271" t="s">
        <v>429</v>
      </c>
      <c r="B18" s="271" t="s">
        <v>244</v>
      </c>
      <c r="C18" s="271" t="s">
        <v>1268</v>
      </c>
      <c r="D18" s="270">
        <v>64314892</v>
      </c>
    </row>
    <row r="19" spans="1:4" ht="67.5" x14ac:dyDescent="0.25">
      <c r="A19" s="271" t="s">
        <v>429</v>
      </c>
      <c r="B19" s="271" t="s">
        <v>245</v>
      </c>
      <c r="C19" s="271" t="s">
        <v>1268</v>
      </c>
      <c r="D19" s="270">
        <v>30011000</v>
      </c>
    </row>
    <row r="20" spans="1:4" ht="67.5" x14ac:dyDescent="0.25">
      <c r="A20" s="271" t="s">
        <v>429</v>
      </c>
      <c r="B20" s="271" t="s">
        <v>246</v>
      </c>
      <c r="C20" s="271" t="s">
        <v>1268</v>
      </c>
      <c r="D20" s="270">
        <v>60000000</v>
      </c>
    </row>
    <row r="21" spans="1:4" ht="67.5" x14ac:dyDescent="0.25">
      <c r="A21" s="271" t="s">
        <v>430</v>
      </c>
      <c r="B21" s="271" t="s">
        <v>247</v>
      </c>
      <c r="C21" s="271" t="s">
        <v>1268</v>
      </c>
      <c r="D21" s="270">
        <v>18000000</v>
      </c>
    </row>
    <row r="22" spans="1:4" ht="67.5" x14ac:dyDescent="0.25">
      <c r="A22" s="271" t="s">
        <v>430</v>
      </c>
      <c r="B22" s="271" t="s">
        <v>248</v>
      </c>
      <c r="C22" s="271" t="s">
        <v>1268</v>
      </c>
      <c r="D22" s="270">
        <v>4801192</v>
      </c>
    </row>
    <row r="23" spans="1:4" ht="67.5" x14ac:dyDescent="0.25">
      <c r="A23" s="271" t="s">
        <v>430</v>
      </c>
      <c r="B23" s="271" t="s">
        <v>395</v>
      </c>
      <c r="C23" s="271" t="s">
        <v>1268</v>
      </c>
      <c r="D23" s="270">
        <v>6908242</v>
      </c>
    </row>
    <row r="24" spans="1:4" ht="112.5" x14ac:dyDescent="0.25">
      <c r="A24" s="271" t="s">
        <v>250</v>
      </c>
      <c r="B24" s="271" t="s">
        <v>250</v>
      </c>
      <c r="C24" s="271" t="s">
        <v>1267</v>
      </c>
      <c r="D24" s="270">
        <v>43974115</v>
      </c>
    </row>
    <row r="25" spans="1:4" ht="112.5" x14ac:dyDescent="0.25">
      <c r="A25" s="271" t="s">
        <v>431</v>
      </c>
      <c r="B25" s="271" t="s">
        <v>251</v>
      </c>
      <c r="C25" s="271" t="s">
        <v>1267</v>
      </c>
      <c r="D25" s="270">
        <v>118694714</v>
      </c>
    </row>
    <row r="26" spans="1:4" ht="112.5" x14ac:dyDescent="0.25">
      <c r="A26" s="271" t="s">
        <v>431</v>
      </c>
      <c r="B26" s="271" t="s">
        <v>252</v>
      </c>
      <c r="C26" s="271" t="s">
        <v>1267</v>
      </c>
      <c r="D26" s="270">
        <v>10115000</v>
      </c>
    </row>
    <row r="27" spans="1:4" ht="78.75" x14ac:dyDescent="0.25">
      <c r="A27" s="271" t="s">
        <v>432</v>
      </c>
      <c r="B27" s="271" t="s">
        <v>254</v>
      </c>
      <c r="C27" s="271" t="s">
        <v>1266</v>
      </c>
      <c r="D27" s="270">
        <v>44800000</v>
      </c>
    </row>
    <row r="28" spans="1:4" ht="78.75" x14ac:dyDescent="0.25">
      <c r="A28" s="271" t="s">
        <v>432</v>
      </c>
      <c r="B28" s="271" t="s">
        <v>255</v>
      </c>
      <c r="C28" s="271" t="s">
        <v>1266</v>
      </c>
      <c r="D28" s="270">
        <v>7000000</v>
      </c>
    </row>
    <row r="29" spans="1:4" ht="78.75" x14ac:dyDescent="0.25">
      <c r="A29" s="271" t="s">
        <v>432</v>
      </c>
      <c r="B29" s="271" t="s">
        <v>256</v>
      </c>
      <c r="C29" s="271" t="s">
        <v>1266</v>
      </c>
      <c r="D29" s="270">
        <v>0</v>
      </c>
    </row>
    <row r="30" spans="1:4" ht="78.75" x14ac:dyDescent="0.25">
      <c r="A30" s="271" t="s">
        <v>432</v>
      </c>
      <c r="B30" s="271" t="s">
        <v>257</v>
      </c>
      <c r="C30" s="271" t="s">
        <v>1266</v>
      </c>
      <c r="D30" s="270">
        <v>4000000</v>
      </c>
    </row>
    <row r="31" spans="1:4" ht="78.75" x14ac:dyDescent="0.25">
      <c r="A31" s="271" t="s">
        <v>432</v>
      </c>
      <c r="B31" s="271" t="s">
        <v>258</v>
      </c>
      <c r="C31" s="271" t="s">
        <v>1266</v>
      </c>
      <c r="D31" s="270">
        <v>50574609</v>
      </c>
    </row>
    <row r="32" spans="1:4" ht="78.75" x14ac:dyDescent="0.25">
      <c r="A32" s="271" t="s">
        <v>432</v>
      </c>
      <c r="B32" s="271" t="s">
        <v>259</v>
      </c>
      <c r="C32" s="271" t="s">
        <v>1266</v>
      </c>
      <c r="D32" s="270">
        <v>27900000</v>
      </c>
    </row>
    <row r="33" spans="1:4" ht="78.75" x14ac:dyDescent="0.25">
      <c r="A33" s="271" t="s">
        <v>433</v>
      </c>
      <c r="B33" s="271" t="s">
        <v>260</v>
      </c>
      <c r="C33" s="271" t="s">
        <v>1266</v>
      </c>
      <c r="D33" s="270">
        <v>32200000</v>
      </c>
    </row>
    <row r="34" spans="1:4" ht="78.75" x14ac:dyDescent="0.25">
      <c r="A34" s="271" t="s">
        <v>433</v>
      </c>
      <c r="B34" s="271" t="s">
        <v>261</v>
      </c>
      <c r="C34" s="271" t="s">
        <v>1266</v>
      </c>
      <c r="D34" s="270">
        <v>13000000</v>
      </c>
    </row>
    <row r="35" spans="1:4" ht="78.75" x14ac:dyDescent="0.25">
      <c r="A35" s="271" t="s">
        <v>434</v>
      </c>
      <c r="B35" s="271" t="s">
        <v>411</v>
      </c>
      <c r="C35" s="271" t="s">
        <v>1266</v>
      </c>
      <c r="D35" s="270">
        <v>6200001</v>
      </c>
    </row>
    <row r="36" spans="1:4" ht="78.75" x14ac:dyDescent="0.25">
      <c r="A36" s="271" t="s">
        <v>434</v>
      </c>
      <c r="B36" s="271" t="s">
        <v>364</v>
      </c>
      <c r="C36" s="271" t="s">
        <v>1266</v>
      </c>
      <c r="D36" s="270">
        <v>51527355</v>
      </c>
    </row>
    <row r="37" spans="1:4" ht="78.75" x14ac:dyDescent="0.25">
      <c r="A37" s="271" t="s">
        <v>262</v>
      </c>
      <c r="B37" s="271" t="s">
        <v>262</v>
      </c>
      <c r="C37" s="271" t="s">
        <v>1266</v>
      </c>
      <c r="D37" s="270">
        <v>59016742</v>
      </c>
    </row>
    <row r="38" spans="1:4" ht="123.75" x14ac:dyDescent="0.25">
      <c r="A38" s="271" t="s">
        <v>417</v>
      </c>
      <c r="B38" s="271" t="s">
        <v>417</v>
      </c>
      <c r="C38" s="271" t="s">
        <v>1265</v>
      </c>
      <c r="D38" s="270">
        <v>9995674</v>
      </c>
    </row>
    <row r="39" spans="1:4" ht="123.75" x14ac:dyDescent="0.25">
      <c r="A39" s="271" t="s">
        <v>418</v>
      </c>
      <c r="B39" s="271" t="s">
        <v>458</v>
      </c>
      <c r="C39" s="271" t="s">
        <v>1265</v>
      </c>
      <c r="D39" s="270">
        <v>8322683</v>
      </c>
    </row>
    <row r="40" spans="1:4" ht="123.75" x14ac:dyDescent="0.25">
      <c r="A40" s="271" t="s">
        <v>418</v>
      </c>
      <c r="B40" s="271" t="s">
        <v>457</v>
      </c>
      <c r="C40" s="271" t="s">
        <v>1265</v>
      </c>
      <c r="D40" s="270">
        <v>1275000</v>
      </c>
    </row>
    <row r="41" spans="1:4" ht="123.75" x14ac:dyDescent="0.25">
      <c r="A41" s="271" t="s">
        <v>418</v>
      </c>
      <c r="B41" s="271" t="s">
        <v>1242</v>
      </c>
      <c r="C41" s="271" t="s">
        <v>1265</v>
      </c>
      <c r="D41" s="270">
        <v>340000</v>
      </c>
    </row>
    <row r="42" spans="1:4" ht="101.25" x14ac:dyDescent="0.25">
      <c r="A42" s="271" t="s">
        <v>264</v>
      </c>
      <c r="B42" s="271" t="s">
        <v>264</v>
      </c>
      <c r="C42" s="271" t="s">
        <v>1264</v>
      </c>
      <c r="D42" s="270">
        <v>23733826</v>
      </c>
    </row>
    <row r="43" spans="1:4" ht="101.25" x14ac:dyDescent="0.25">
      <c r="A43" s="271" t="s">
        <v>435</v>
      </c>
      <c r="B43" s="271" t="s">
        <v>265</v>
      </c>
      <c r="C43" s="271" t="s">
        <v>1264</v>
      </c>
      <c r="D43" s="270">
        <v>149999999</v>
      </c>
    </row>
    <row r="44" spans="1:4" ht="101.25" x14ac:dyDescent="0.25">
      <c r="A44" s="271" t="s">
        <v>435</v>
      </c>
      <c r="B44" s="271" t="s">
        <v>266</v>
      </c>
      <c r="C44" s="271" t="s">
        <v>1264</v>
      </c>
      <c r="D44" s="270">
        <v>96013119</v>
      </c>
    </row>
    <row r="45" spans="1:4" ht="101.25" x14ac:dyDescent="0.25">
      <c r="A45" s="271" t="s">
        <v>267</v>
      </c>
      <c r="B45" s="271" t="s">
        <v>267</v>
      </c>
      <c r="C45" s="271" t="s">
        <v>1264</v>
      </c>
      <c r="D45" s="270">
        <v>31393658</v>
      </c>
    </row>
    <row r="46" spans="1:4" ht="101.25" x14ac:dyDescent="0.25">
      <c r="A46" s="271" t="s">
        <v>268</v>
      </c>
      <c r="B46" s="271" t="s">
        <v>268</v>
      </c>
      <c r="C46" s="271" t="s">
        <v>1264</v>
      </c>
      <c r="D46" s="270">
        <v>53194494</v>
      </c>
    </row>
    <row r="47" spans="1:4" ht="101.25" x14ac:dyDescent="0.25">
      <c r="A47" s="271" t="s">
        <v>269</v>
      </c>
      <c r="B47" s="271" t="s">
        <v>269</v>
      </c>
      <c r="C47" s="271" t="s">
        <v>1264</v>
      </c>
      <c r="D47" s="270">
        <v>7092599</v>
      </c>
    </row>
    <row r="48" spans="1:4" ht="101.25" x14ac:dyDescent="0.25">
      <c r="A48" s="271" t="s">
        <v>436</v>
      </c>
      <c r="B48" s="271" t="s">
        <v>270</v>
      </c>
      <c r="C48" s="271" t="s">
        <v>1264</v>
      </c>
      <c r="D48" s="270">
        <v>96000000</v>
      </c>
    </row>
    <row r="49" spans="1:4" ht="101.25" x14ac:dyDescent="0.25">
      <c r="A49" s="271" t="s">
        <v>436</v>
      </c>
      <c r="B49" s="271" t="s">
        <v>271</v>
      </c>
      <c r="C49" s="271" t="s">
        <v>1264</v>
      </c>
      <c r="D49" s="270">
        <v>12516768</v>
      </c>
    </row>
    <row r="50" spans="1:4" ht="90" x14ac:dyDescent="0.25">
      <c r="A50" s="271" t="s">
        <v>273</v>
      </c>
      <c r="B50" s="271" t="s">
        <v>273</v>
      </c>
      <c r="C50" s="271" t="s">
        <v>1263</v>
      </c>
      <c r="D50" s="270">
        <v>4026179</v>
      </c>
    </row>
    <row r="51" spans="1:4" ht="90" x14ac:dyDescent="0.25">
      <c r="A51" s="271" t="s">
        <v>274</v>
      </c>
      <c r="B51" s="271" t="s">
        <v>274</v>
      </c>
      <c r="C51" s="271" t="s">
        <v>1263</v>
      </c>
      <c r="D51" s="270">
        <v>36881516</v>
      </c>
    </row>
    <row r="52" spans="1:4" ht="101.25" x14ac:dyDescent="0.25">
      <c r="A52" s="271" t="s">
        <v>437</v>
      </c>
      <c r="B52" s="271" t="s">
        <v>275</v>
      </c>
      <c r="C52" s="271" t="s">
        <v>1262</v>
      </c>
      <c r="D52" s="270">
        <v>5478088</v>
      </c>
    </row>
    <row r="53" spans="1:4" ht="101.25" x14ac:dyDescent="0.25">
      <c r="A53" s="271" t="s">
        <v>437</v>
      </c>
      <c r="B53" s="271" t="s">
        <v>276</v>
      </c>
      <c r="C53" s="271" t="s">
        <v>1262</v>
      </c>
      <c r="D53" s="270">
        <v>24853746</v>
      </c>
    </row>
    <row r="54" spans="1:4" ht="101.25" x14ac:dyDescent="0.25">
      <c r="A54" s="271" t="s">
        <v>437</v>
      </c>
      <c r="B54" s="271" t="s">
        <v>405</v>
      </c>
      <c r="C54" s="271" t="s">
        <v>1262</v>
      </c>
      <c r="D54" s="270">
        <v>9184249</v>
      </c>
    </row>
    <row r="55" spans="1:4" ht="101.25" x14ac:dyDescent="0.25">
      <c r="A55" s="271" t="s">
        <v>277</v>
      </c>
      <c r="B55" s="271" t="s">
        <v>277</v>
      </c>
      <c r="C55" s="271" t="s">
        <v>1262</v>
      </c>
      <c r="D55" s="270">
        <v>116129889</v>
      </c>
    </row>
    <row r="56" spans="1:4" ht="101.25" x14ac:dyDescent="0.25">
      <c r="A56" s="271" t="s">
        <v>438</v>
      </c>
      <c r="B56" s="271" t="s">
        <v>278</v>
      </c>
      <c r="C56" s="271" t="s">
        <v>1262</v>
      </c>
      <c r="D56" s="270">
        <v>3400000</v>
      </c>
    </row>
    <row r="57" spans="1:4" ht="101.25" x14ac:dyDescent="0.25">
      <c r="A57" s="271" t="s">
        <v>439</v>
      </c>
      <c r="B57" s="271" t="s">
        <v>279</v>
      </c>
      <c r="C57" s="271" t="s">
        <v>1262</v>
      </c>
      <c r="D57" s="270">
        <v>8075000</v>
      </c>
    </row>
    <row r="58" spans="1:4" ht="101.25" x14ac:dyDescent="0.25">
      <c r="A58" s="271" t="s">
        <v>439</v>
      </c>
      <c r="B58" s="271" t="s">
        <v>280</v>
      </c>
      <c r="C58" s="271" t="s">
        <v>1262</v>
      </c>
      <c r="D58" s="270">
        <v>16038626</v>
      </c>
    </row>
    <row r="59" spans="1:4" ht="101.25" x14ac:dyDescent="0.25">
      <c r="A59" s="271" t="s">
        <v>1244</v>
      </c>
      <c r="B59" s="271" t="s">
        <v>1244</v>
      </c>
      <c r="C59" s="271" t="s">
        <v>1262</v>
      </c>
      <c r="D59" s="270">
        <v>7830726</v>
      </c>
    </row>
    <row r="60" spans="1:4" ht="101.25" x14ac:dyDescent="0.25">
      <c r="A60" s="271" t="s">
        <v>281</v>
      </c>
      <c r="B60" s="271" t="s">
        <v>281</v>
      </c>
      <c r="C60" s="271" t="s">
        <v>1262</v>
      </c>
      <c r="D60" s="270">
        <v>60110071</v>
      </c>
    </row>
    <row r="61" spans="1:4" ht="101.25" x14ac:dyDescent="0.25">
      <c r="A61" s="271" t="s">
        <v>282</v>
      </c>
      <c r="B61" s="271" t="s">
        <v>282</v>
      </c>
      <c r="C61" s="271" t="s">
        <v>1262</v>
      </c>
      <c r="D61" s="270">
        <v>80382791</v>
      </c>
    </row>
    <row r="62" spans="1:4" ht="101.25" x14ac:dyDescent="0.25">
      <c r="A62" s="271" t="s">
        <v>283</v>
      </c>
      <c r="B62" s="271" t="s">
        <v>283</v>
      </c>
      <c r="C62" s="271" t="s">
        <v>1262</v>
      </c>
      <c r="D62" s="270">
        <v>236524372</v>
      </c>
    </row>
    <row r="63" spans="1:4" ht="101.25" x14ac:dyDescent="0.25">
      <c r="A63" s="271" t="s">
        <v>462</v>
      </c>
      <c r="B63" s="271" t="s">
        <v>462</v>
      </c>
      <c r="C63" s="271" t="s">
        <v>1262</v>
      </c>
      <c r="D63" s="270">
        <v>11600000</v>
      </c>
    </row>
    <row r="64" spans="1:4" ht="112.5" x14ac:dyDescent="0.25">
      <c r="A64" s="271" t="s">
        <v>285</v>
      </c>
      <c r="B64" s="271" t="s">
        <v>285</v>
      </c>
      <c r="C64" s="271" t="s">
        <v>1261</v>
      </c>
      <c r="D64" s="270">
        <v>74112625</v>
      </c>
    </row>
    <row r="65" spans="1:4" ht="112.5" x14ac:dyDescent="0.25">
      <c r="A65" s="271" t="s">
        <v>286</v>
      </c>
      <c r="B65" s="271" t="s">
        <v>286</v>
      </c>
      <c r="C65" s="271" t="s">
        <v>1261</v>
      </c>
      <c r="D65" s="270">
        <v>11484765</v>
      </c>
    </row>
    <row r="66" spans="1:4" ht="112.5" x14ac:dyDescent="0.25">
      <c r="A66" s="271" t="s">
        <v>440</v>
      </c>
      <c r="B66" s="271" t="s">
        <v>287</v>
      </c>
      <c r="C66" s="271" t="s">
        <v>1261</v>
      </c>
      <c r="D66" s="270">
        <v>75109464</v>
      </c>
    </row>
    <row r="67" spans="1:4" ht="112.5" x14ac:dyDescent="0.25">
      <c r="A67" s="271" t="s">
        <v>440</v>
      </c>
      <c r="B67" s="271" t="s">
        <v>288</v>
      </c>
      <c r="C67" s="271" t="s">
        <v>1261</v>
      </c>
      <c r="D67" s="270">
        <v>7093340</v>
      </c>
    </row>
    <row r="68" spans="1:4" ht="112.5" x14ac:dyDescent="0.25">
      <c r="A68" s="271" t="s">
        <v>441</v>
      </c>
      <c r="B68" s="271" t="s">
        <v>289</v>
      </c>
      <c r="C68" s="271" t="s">
        <v>1261</v>
      </c>
      <c r="D68" s="270">
        <v>46413304</v>
      </c>
    </row>
    <row r="69" spans="1:4" ht="112.5" x14ac:dyDescent="0.25">
      <c r="A69" s="271" t="s">
        <v>441</v>
      </c>
      <c r="B69" s="271" t="s">
        <v>290</v>
      </c>
      <c r="C69" s="271" t="s">
        <v>1261</v>
      </c>
      <c r="D69" s="270">
        <v>37703628</v>
      </c>
    </row>
    <row r="70" spans="1:4" ht="112.5" x14ac:dyDescent="0.25">
      <c r="A70" s="271" t="s">
        <v>291</v>
      </c>
      <c r="B70" s="271" t="s">
        <v>291</v>
      </c>
      <c r="C70" s="271" t="s">
        <v>1261</v>
      </c>
      <c r="D70" s="270">
        <v>218449803</v>
      </c>
    </row>
    <row r="71" spans="1:4" ht="112.5" x14ac:dyDescent="0.25">
      <c r="A71" s="271" t="s">
        <v>442</v>
      </c>
      <c r="B71" s="271" t="s">
        <v>292</v>
      </c>
      <c r="C71" s="271" t="s">
        <v>1261</v>
      </c>
      <c r="D71" s="270">
        <v>346639348</v>
      </c>
    </row>
    <row r="72" spans="1:4" ht="112.5" x14ac:dyDescent="0.25">
      <c r="A72" s="271" t="s">
        <v>442</v>
      </c>
      <c r="B72" s="271" t="s">
        <v>293</v>
      </c>
      <c r="C72" s="271" t="s">
        <v>1261</v>
      </c>
      <c r="D72" s="270">
        <v>107288018</v>
      </c>
    </row>
    <row r="73" spans="1:4" ht="112.5" x14ac:dyDescent="0.25">
      <c r="A73" s="271" t="s">
        <v>294</v>
      </c>
      <c r="B73" s="271" t="s">
        <v>294</v>
      </c>
      <c r="C73" s="271" t="s">
        <v>1261</v>
      </c>
      <c r="D73" s="270">
        <v>235477563</v>
      </c>
    </row>
    <row r="74" spans="1:4" ht="101.25" x14ac:dyDescent="0.25">
      <c r="A74" s="271" t="s">
        <v>296</v>
      </c>
      <c r="B74" s="271" t="s">
        <v>296</v>
      </c>
      <c r="C74" s="271" t="s">
        <v>1259</v>
      </c>
      <c r="D74" s="270">
        <v>81963841</v>
      </c>
    </row>
    <row r="75" spans="1:4" ht="101.25" x14ac:dyDescent="0.25">
      <c r="A75" s="271" t="s">
        <v>443</v>
      </c>
      <c r="B75" s="271" t="s">
        <v>297</v>
      </c>
      <c r="C75" s="271" t="s">
        <v>1259</v>
      </c>
      <c r="D75" s="270">
        <v>502562</v>
      </c>
    </row>
    <row r="76" spans="1:4" ht="101.25" x14ac:dyDescent="0.25">
      <c r="A76" s="271" t="s">
        <v>443</v>
      </c>
      <c r="B76" s="271" t="s">
        <v>298</v>
      </c>
      <c r="C76" s="271" t="s">
        <v>1259</v>
      </c>
      <c r="D76" s="270">
        <v>1190655</v>
      </c>
    </row>
    <row r="77" spans="1:4" ht="101.25" x14ac:dyDescent="0.25">
      <c r="A77" s="271" t="s">
        <v>444</v>
      </c>
      <c r="B77" s="271" t="s">
        <v>299</v>
      </c>
      <c r="C77" s="271" t="s">
        <v>1259</v>
      </c>
      <c r="D77" s="270">
        <v>31207922</v>
      </c>
    </row>
    <row r="78" spans="1:4" ht="101.25" x14ac:dyDescent="0.25">
      <c r="A78" s="271" t="s">
        <v>444</v>
      </c>
      <c r="B78" s="271" t="s">
        <v>300</v>
      </c>
      <c r="C78" s="271" t="s">
        <v>1259</v>
      </c>
      <c r="D78" s="270">
        <v>32780847</v>
      </c>
    </row>
    <row r="79" spans="1:4" ht="101.25" x14ac:dyDescent="0.25">
      <c r="A79" s="271" t="s">
        <v>444</v>
      </c>
      <c r="B79" s="271" t="s">
        <v>301</v>
      </c>
      <c r="C79" s="271" t="s">
        <v>1259</v>
      </c>
      <c r="D79" s="270">
        <v>2770061</v>
      </c>
    </row>
    <row r="80" spans="1:4" ht="101.25" x14ac:dyDescent="0.25">
      <c r="A80" s="271" t="s">
        <v>302</v>
      </c>
      <c r="B80" s="271" t="s">
        <v>302</v>
      </c>
      <c r="C80" s="271" t="s">
        <v>1259</v>
      </c>
      <c r="D80" s="270">
        <v>10746951</v>
      </c>
    </row>
    <row r="81" spans="1:4" ht="101.25" x14ac:dyDescent="0.25">
      <c r="A81" s="271" t="s">
        <v>303</v>
      </c>
      <c r="B81" s="271" t="s">
        <v>303</v>
      </c>
      <c r="C81" s="271" t="s">
        <v>1259</v>
      </c>
      <c r="D81" s="270">
        <v>9006779</v>
      </c>
    </row>
    <row r="82" spans="1:4" ht="135" x14ac:dyDescent="0.25">
      <c r="A82" s="271" t="s">
        <v>305</v>
      </c>
      <c r="B82" s="271" t="s">
        <v>305</v>
      </c>
      <c r="C82" s="271" t="s">
        <v>1260</v>
      </c>
      <c r="D82" s="270">
        <v>37945407</v>
      </c>
    </row>
    <row r="83" spans="1:4" ht="135" x14ac:dyDescent="0.25">
      <c r="A83" s="271" t="s">
        <v>445</v>
      </c>
      <c r="B83" s="271" t="s">
        <v>445</v>
      </c>
      <c r="C83" s="271" t="s">
        <v>1260</v>
      </c>
      <c r="D83" s="270">
        <v>138866812</v>
      </c>
    </row>
    <row r="84" spans="1:4" ht="135" x14ac:dyDescent="0.25">
      <c r="A84" s="271" t="s">
        <v>306</v>
      </c>
      <c r="B84" s="271" t="s">
        <v>306</v>
      </c>
      <c r="C84" s="271" t="s">
        <v>1260</v>
      </c>
      <c r="D84" s="270">
        <v>88591148</v>
      </c>
    </row>
    <row r="85" spans="1:4" ht="135" x14ac:dyDescent="0.25">
      <c r="A85" s="271" t="s">
        <v>307</v>
      </c>
      <c r="B85" s="271" t="s">
        <v>307</v>
      </c>
      <c r="C85" s="271" t="s">
        <v>1260</v>
      </c>
      <c r="D85" s="270">
        <v>12057418</v>
      </c>
    </row>
    <row r="86" spans="1:4" ht="135" x14ac:dyDescent="0.25">
      <c r="A86" s="271" t="s">
        <v>308</v>
      </c>
      <c r="B86" s="271" t="s">
        <v>308</v>
      </c>
      <c r="C86" s="271" t="s">
        <v>1260</v>
      </c>
      <c r="D86" s="270">
        <v>9192750</v>
      </c>
    </row>
    <row r="87" spans="1:4" ht="135" x14ac:dyDescent="0.25">
      <c r="A87" s="271" t="s">
        <v>309</v>
      </c>
      <c r="B87" s="271" t="s">
        <v>309</v>
      </c>
      <c r="C87" s="271" t="s">
        <v>1260</v>
      </c>
      <c r="D87" s="270">
        <v>29189583</v>
      </c>
    </row>
    <row r="88" spans="1:4" ht="135" x14ac:dyDescent="0.25">
      <c r="A88" s="271" t="s">
        <v>310</v>
      </c>
      <c r="B88" s="271" t="s">
        <v>310</v>
      </c>
      <c r="C88" s="271" t="s">
        <v>1260</v>
      </c>
      <c r="D88" s="270">
        <v>17000000</v>
      </c>
    </row>
    <row r="89" spans="1:4" ht="135" x14ac:dyDescent="0.25">
      <c r="A89" s="271" t="s">
        <v>311</v>
      </c>
      <c r="B89" s="271" t="s">
        <v>311</v>
      </c>
      <c r="C89" s="271" t="s">
        <v>1260</v>
      </c>
      <c r="D89" s="270">
        <v>1275000</v>
      </c>
    </row>
    <row r="90" spans="1:4" ht="135" x14ac:dyDescent="0.25">
      <c r="A90" s="271" t="s">
        <v>446</v>
      </c>
      <c r="B90" s="271" t="s">
        <v>447</v>
      </c>
      <c r="C90" s="271" t="s">
        <v>1260</v>
      </c>
      <c r="D90" s="270">
        <v>11866751</v>
      </c>
    </row>
    <row r="91" spans="1:4" ht="135" x14ac:dyDescent="0.25">
      <c r="A91" s="271" t="s">
        <v>446</v>
      </c>
      <c r="B91" s="271" t="s">
        <v>312</v>
      </c>
      <c r="C91" s="271" t="s">
        <v>1260</v>
      </c>
      <c r="D91" s="270">
        <v>2626723</v>
      </c>
    </row>
    <row r="92" spans="1:4" ht="135" x14ac:dyDescent="0.25">
      <c r="A92" s="271" t="s">
        <v>448</v>
      </c>
      <c r="B92" s="271" t="s">
        <v>313</v>
      </c>
      <c r="C92" s="271" t="s">
        <v>1260</v>
      </c>
      <c r="D92" s="270">
        <v>2794247</v>
      </c>
    </row>
    <row r="93" spans="1:4" ht="135" x14ac:dyDescent="0.25">
      <c r="A93" s="271" t="s">
        <v>448</v>
      </c>
      <c r="B93" s="271" t="s">
        <v>314</v>
      </c>
      <c r="C93" s="271" t="s">
        <v>1260</v>
      </c>
      <c r="D93" s="270">
        <v>21445447</v>
      </c>
    </row>
    <row r="94" spans="1:4" ht="135" x14ac:dyDescent="0.25">
      <c r="A94" s="271" t="s">
        <v>315</v>
      </c>
      <c r="B94" s="271" t="s">
        <v>315</v>
      </c>
      <c r="C94" s="271" t="s">
        <v>1260</v>
      </c>
      <c r="D94" s="270">
        <v>7650000</v>
      </c>
    </row>
    <row r="95" spans="1:4" ht="135" x14ac:dyDescent="0.25">
      <c r="A95" s="271" t="s">
        <v>316</v>
      </c>
      <c r="B95" s="271" t="s">
        <v>316</v>
      </c>
      <c r="C95" s="271" t="s">
        <v>1260</v>
      </c>
      <c r="D95" s="270">
        <v>48909344</v>
      </c>
    </row>
    <row r="96" spans="1:4" ht="135" x14ac:dyDescent="0.25">
      <c r="A96" s="271" t="s">
        <v>317</v>
      </c>
      <c r="B96" s="271" t="s">
        <v>317</v>
      </c>
      <c r="C96" s="271" t="s">
        <v>1260</v>
      </c>
      <c r="D96" s="270">
        <v>19618584</v>
      </c>
    </row>
    <row r="97" spans="1:4" ht="135" x14ac:dyDescent="0.25">
      <c r="A97" s="271" t="s">
        <v>449</v>
      </c>
      <c r="B97" s="271" t="s">
        <v>318</v>
      </c>
      <c r="C97" s="271" t="s">
        <v>1260</v>
      </c>
      <c r="D97" s="270">
        <v>2040000</v>
      </c>
    </row>
    <row r="98" spans="1:4" ht="135" x14ac:dyDescent="0.25">
      <c r="A98" s="271" t="s">
        <v>449</v>
      </c>
      <c r="B98" s="271" t="s">
        <v>319</v>
      </c>
      <c r="C98" s="271" t="s">
        <v>1260</v>
      </c>
      <c r="D98" s="270">
        <v>4092205</v>
      </c>
    </row>
    <row r="99" spans="1:4" ht="135" x14ac:dyDescent="0.25">
      <c r="A99" s="271" t="s">
        <v>450</v>
      </c>
      <c r="B99" s="271" t="s">
        <v>450</v>
      </c>
      <c r="C99" s="271" t="s">
        <v>1260</v>
      </c>
      <c r="D99" s="270">
        <v>22979380</v>
      </c>
    </row>
    <row r="100" spans="1:4" ht="135" x14ac:dyDescent="0.25">
      <c r="A100" s="271" t="s">
        <v>320</v>
      </c>
      <c r="B100" s="271" t="s">
        <v>320</v>
      </c>
      <c r="C100" s="271" t="s">
        <v>1260</v>
      </c>
      <c r="D100" s="270">
        <v>18646580</v>
      </c>
    </row>
    <row r="101" spans="1:4" ht="135" x14ac:dyDescent="0.25">
      <c r="A101" s="271" t="s">
        <v>321</v>
      </c>
      <c r="B101" s="271" t="s">
        <v>321</v>
      </c>
      <c r="C101" s="271" t="s">
        <v>1260</v>
      </c>
      <c r="D101" s="270">
        <v>10996033</v>
      </c>
    </row>
    <row r="102" spans="1:4" ht="135" x14ac:dyDescent="0.25">
      <c r="A102" s="271" t="s">
        <v>322</v>
      </c>
      <c r="B102" s="271" t="s">
        <v>322</v>
      </c>
      <c r="C102" s="271" t="s">
        <v>1260</v>
      </c>
      <c r="D102" s="270">
        <v>5516580</v>
      </c>
    </row>
    <row r="103" spans="1:4" ht="101.25" x14ac:dyDescent="0.25">
      <c r="A103" s="271" t="s">
        <v>451</v>
      </c>
      <c r="B103" s="271" t="s">
        <v>324</v>
      </c>
      <c r="C103" s="271" t="s">
        <v>1259</v>
      </c>
      <c r="D103" s="270">
        <v>31636001</v>
      </c>
    </row>
    <row r="104" spans="1:4" ht="101.25" x14ac:dyDescent="0.25">
      <c r="A104" s="271" t="s">
        <v>451</v>
      </c>
      <c r="B104" s="271" t="s">
        <v>325</v>
      </c>
      <c r="C104" s="271" t="s">
        <v>1259</v>
      </c>
      <c r="D104" s="270">
        <v>27225595</v>
      </c>
    </row>
    <row r="105" spans="1:4" ht="101.25" x14ac:dyDescent="0.25">
      <c r="A105" s="271" t="s">
        <v>451</v>
      </c>
      <c r="B105" s="271" t="s">
        <v>326</v>
      </c>
      <c r="C105" s="271" t="s">
        <v>1258</v>
      </c>
      <c r="D105" s="270">
        <v>16932175</v>
      </c>
    </row>
    <row r="106" spans="1:4" ht="101.25" x14ac:dyDescent="0.25">
      <c r="A106" s="271" t="s">
        <v>327</v>
      </c>
      <c r="B106" s="271" t="s">
        <v>327</v>
      </c>
      <c r="C106" s="271" t="s">
        <v>1258</v>
      </c>
      <c r="D106" s="270">
        <v>4398750</v>
      </c>
    </row>
    <row r="107" spans="1:4" ht="101.25" x14ac:dyDescent="0.25">
      <c r="A107" s="271" t="s">
        <v>328</v>
      </c>
      <c r="B107" s="271" t="s">
        <v>328</v>
      </c>
      <c r="C107" s="271" t="s">
        <v>1258</v>
      </c>
      <c r="D107" s="270">
        <v>3597789</v>
      </c>
    </row>
    <row r="108" spans="1:4" ht="101.25" x14ac:dyDescent="0.25">
      <c r="A108" s="271" t="s">
        <v>452</v>
      </c>
      <c r="B108" s="271" t="s">
        <v>329</v>
      </c>
      <c r="C108" s="271" t="s">
        <v>1258</v>
      </c>
      <c r="D108" s="270">
        <v>1064308</v>
      </c>
    </row>
    <row r="109" spans="1:4" ht="101.25" x14ac:dyDescent="0.25">
      <c r="A109" s="271" t="s">
        <v>452</v>
      </c>
      <c r="B109" s="271" t="s">
        <v>330</v>
      </c>
      <c r="C109" s="271" t="s">
        <v>1258</v>
      </c>
      <c r="D109" s="270">
        <v>1124780</v>
      </c>
    </row>
    <row r="110" spans="1:4" ht="101.25" x14ac:dyDescent="0.25">
      <c r="A110" s="271" t="s">
        <v>452</v>
      </c>
      <c r="B110" s="271" t="s">
        <v>331</v>
      </c>
      <c r="C110" s="271" t="s">
        <v>1258</v>
      </c>
      <c r="D110" s="270">
        <v>270346</v>
      </c>
    </row>
    <row r="111" spans="1:4" ht="101.25" x14ac:dyDescent="0.25">
      <c r="A111" s="271" t="s">
        <v>452</v>
      </c>
      <c r="B111" s="271" t="s">
        <v>332</v>
      </c>
      <c r="C111" s="271" t="s">
        <v>1258</v>
      </c>
      <c r="D111" s="270">
        <v>5791088</v>
      </c>
    </row>
    <row r="112" spans="1:4" ht="101.25" x14ac:dyDescent="0.25">
      <c r="A112" s="271" t="s">
        <v>453</v>
      </c>
      <c r="B112" s="271" t="s">
        <v>333</v>
      </c>
      <c r="C112" s="271" t="s">
        <v>1258</v>
      </c>
      <c r="D112" s="270">
        <v>7247622</v>
      </c>
    </row>
    <row r="113" spans="1:4" ht="101.25" x14ac:dyDescent="0.25">
      <c r="A113" s="271" t="s">
        <v>453</v>
      </c>
      <c r="B113" s="271" t="s">
        <v>334</v>
      </c>
      <c r="C113" s="271" t="s">
        <v>1258</v>
      </c>
      <c r="D113" s="270">
        <v>917966</v>
      </c>
    </row>
    <row r="114" spans="1:4" ht="101.25" x14ac:dyDescent="0.25">
      <c r="A114" s="271" t="s">
        <v>453</v>
      </c>
      <c r="B114" s="271" t="s">
        <v>335</v>
      </c>
      <c r="C114" s="271" t="s">
        <v>1258</v>
      </c>
      <c r="D114" s="270">
        <v>1995577</v>
      </c>
    </row>
    <row r="115" spans="1:4" ht="101.25" x14ac:dyDescent="0.25">
      <c r="A115" s="271" t="s">
        <v>454</v>
      </c>
      <c r="B115" s="271" t="s">
        <v>336</v>
      </c>
      <c r="C115" s="271" t="s">
        <v>1258</v>
      </c>
      <c r="D115" s="270">
        <v>40127871</v>
      </c>
    </row>
    <row r="116" spans="1:4" ht="101.25" x14ac:dyDescent="0.25">
      <c r="A116" s="271" t="s">
        <v>454</v>
      </c>
      <c r="B116" s="271" t="s">
        <v>337</v>
      </c>
      <c r="C116" s="271" t="s">
        <v>1258</v>
      </c>
      <c r="D116" s="270">
        <v>4018012</v>
      </c>
    </row>
    <row r="117" spans="1:4" ht="101.25" x14ac:dyDescent="0.25">
      <c r="A117" s="271" t="s">
        <v>338</v>
      </c>
      <c r="B117" s="271" t="s">
        <v>338</v>
      </c>
      <c r="C117" s="271" t="s">
        <v>1258</v>
      </c>
      <c r="D117" s="270">
        <v>3699467</v>
      </c>
    </row>
    <row r="118" spans="1:4" ht="101.25" x14ac:dyDescent="0.25">
      <c r="A118" s="271" t="s">
        <v>455</v>
      </c>
      <c r="B118" s="271" t="s">
        <v>339</v>
      </c>
      <c r="C118" s="271" t="s">
        <v>1258</v>
      </c>
      <c r="D118" s="270">
        <v>14188877</v>
      </c>
    </row>
    <row r="119" spans="1:4" ht="101.25" x14ac:dyDescent="0.25">
      <c r="A119" s="271" t="s">
        <v>455</v>
      </c>
      <c r="B119" s="271" t="s">
        <v>340</v>
      </c>
      <c r="C119" s="271" t="s">
        <v>1258</v>
      </c>
      <c r="D119" s="270">
        <v>33107381</v>
      </c>
    </row>
    <row r="120" spans="1:4" ht="101.25" x14ac:dyDescent="0.25">
      <c r="A120" s="271" t="s">
        <v>341</v>
      </c>
      <c r="B120" s="271" t="s">
        <v>341</v>
      </c>
      <c r="C120" s="271" t="s">
        <v>1258</v>
      </c>
      <c r="D120" s="270">
        <v>0</v>
      </c>
    </row>
    <row r="121" spans="1:4" ht="101.25" x14ac:dyDescent="0.25">
      <c r="A121" s="271" t="s">
        <v>342</v>
      </c>
      <c r="B121" s="271" t="s">
        <v>342</v>
      </c>
      <c r="C121" s="271" t="s">
        <v>1258</v>
      </c>
      <c r="D121" s="270">
        <v>19351057</v>
      </c>
    </row>
    <row r="122" spans="1:4" ht="101.25" x14ac:dyDescent="0.25">
      <c r="A122" s="271" t="s">
        <v>596</v>
      </c>
      <c r="B122" s="271" t="s">
        <v>343</v>
      </c>
      <c r="C122" s="271" t="s">
        <v>1258</v>
      </c>
      <c r="D122" s="270">
        <v>37775681</v>
      </c>
    </row>
    <row r="123" spans="1:4" ht="101.25" x14ac:dyDescent="0.25">
      <c r="A123" s="271" t="s">
        <v>596</v>
      </c>
      <c r="B123" s="271" t="s">
        <v>237</v>
      </c>
      <c r="C123" s="271" t="s">
        <v>1258</v>
      </c>
      <c r="D123" s="270">
        <v>3465513</v>
      </c>
    </row>
    <row r="124" spans="1:4" ht="101.25" x14ac:dyDescent="0.25">
      <c r="A124" s="271" t="s">
        <v>236</v>
      </c>
      <c r="B124" s="271" t="s">
        <v>236</v>
      </c>
      <c r="C124" s="271" t="s">
        <v>1258</v>
      </c>
      <c r="D124" s="270">
        <v>152136153</v>
      </c>
    </row>
    <row r="125" spans="1:4" ht="56.25" x14ac:dyDescent="0.25">
      <c r="A125" s="271" t="s">
        <v>359</v>
      </c>
      <c r="B125" s="271" t="s">
        <v>359</v>
      </c>
      <c r="C125" s="271" t="s">
        <v>1257</v>
      </c>
      <c r="D125" s="270">
        <v>5926749</v>
      </c>
    </row>
    <row r="126" spans="1:4" ht="56.25" x14ac:dyDescent="0.25">
      <c r="A126" s="271" t="s">
        <v>235</v>
      </c>
      <c r="B126" s="271" t="s">
        <v>235</v>
      </c>
      <c r="C126" s="271" t="s">
        <v>1257</v>
      </c>
      <c r="D126" s="270">
        <v>6062936</v>
      </c>
    </row>
    <row r="127" spans="1:4" ht="56.25" x14ac:dyDescent="0.25">
      <c r="A127" s="271" t="s">
        <v>1250</v>
      </c>
      <c r="B127" s="271" t="s">
        <v>1250</v>
      </c>
      <c r="C127" s="271" t="s">
        <v>1257</v>
      </c>
      <c r="D127" s="270">
        <v>8080290</v>
      </c>
    </row>
    <row r="128" spans="1:4" ht="56.25" x14ac:dyDescent="0.25">
      <c r="A128" s="271" t="s">
        <v>234</v>
      </c>
      <c r="B128" s="271" t="s">
        <v>234</v>
      </c>
      <c r="C128" s="271" t="s">
        <v>1257</v>
      </c>
      <c r="D128" s="270">
        <v>36101098</v>
      </c>
    </row>
    <row r="129" spans="1:4" ht="56.25" x14ac:dyDescent="0.25">
      <c r="A129" s="271" t="s">
        <v>233</v>
      </c>
      <c r="B129" s="271" t="s">
        <v>233</v>
      </c>
      <c r="C129" s="271" t="s">
        <v>1257</v>
      </c>
      <c r="D129" s="270">
        <v>38093121</v>
      </c>
    </row>
  </sheetData>
  <mergeCells count="4">
    <mergeCell ref="A6:D6"/>
    <mergeCell ref="A7:D7"/>
    <mergeCell ref="A8:D8"/>
    <mergeCell ref="A10:D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4" tint="0.59999389629810485"/>
    <pageSetUpPr fitToPage="1"/>
  </sheetPr>
  <dimension ref="A1:AM251"/>
  <sheetViews>
    <sheetView tabSelected="1" zoomScale="60" zoomScaleNormal="60" zoomScaleSheetLayoutView="55" workbookViewId="0">
      <pane xSplit="6" ySplit="14" topLeftCell="H15" activePane="bottomRight" state="frozen"/>
      <selection pane="topRight" activeCell="F1" sqref="F1"/>
      <selection pane="bottomLeft" activeCell="A13" sqref="A13"/>
      <selection pane="bottomRight" activeCell="H2" sqref="H2"/>
    </sheetView>
  </sheetViews>
  <sheetFormatPr defaultColWidth="9.42578125" defaultRowHeight="18.75" outlineLevelCol="1" x14ac:dyDescent="0.3"/>
  <cols>
    <col min="1" max="1" width="12.5703125" style="19" customWidth="1"/>
    <col min="2" max="2" width="36.42578125" style="19" customWidth="1"/>
    <col min="3" max="3" width="28.42578125" style="3" hidden="1" customWidth="1" outlineLevel="1"/>
    <col min="4" max="4" width="7.5703125" style="3" customWidth="1" collapsed="1"/>
    <col min="5" max="5" width="9.42578125" style="3"/>
    <col min="6" max="6" width="12.5703125" style="3" customWidth="1"/>
    <col min="7" max="7" width="12.5703125" style="3" hidden="1" customWidth="1" outlineLevel="1"/>
    <col min="8" max="8" width="24.42578125" style="3" customWidth="1" collapsed="1"/>
    <col min="9" max="9" width="26.42578125" style="3" bestFit="1" customWidth="1"/>
    <col min="10" max="10" width="20.42578125" style="3" customWidth="1"/>
    <col min="11" max="11" width="27.5703125" style="3" hidden="1" customWidth="1"/>
    <col min="12" max="12" width="23" style="3" customWidth="1"/>
    <col min="13" max="15" width="18" style="3" customWidth="1"/>
    <col min="16" max="16" width="14.42578125" style="3" customWidth="1"/>
    <col min="17" max="17" width="20.42578125" style="57" hidden="1" customWidth="1" outlineLevel="1"/>
    <col min="18" max="18" width="18" style="3" hidden="1" customWidth="1" outlineLevel="1"/>
    <col min="19" max="19" width="21.5703125" style="3" customWidth="1" collapsed="1"/>
    <col min="20" max="20" width="17.42578125" style="3" customWidth="1"/>
    <col min="21" max="22" width="15.5703125" style="3" customWidth="1"/>
    <col min="23" max="23" width="12.42578125" style="3" customWidth="1"/>
    <col min="24" max="24" width="22.42578125" style="109" hidden="1" customWidth="1" outlineLevel="1"/>
    <col min="25" max="25" width="17" style="3" hidden="1" customWidth="1" outlineLevel="1"/>
    <col min="26" max="26" width="20.5703125" style="3" customWidth="1" collapsed="1"/>
    <col min="27" max="27" width="17.42578125" style="3" customWidth="1"/>
    <col min="28" max="29" width="16.5703125" style="3" customWidth="1"/>
    <col min="30" max="30" width="12.5703125" style="3" customWidth="1"/>
    <col min="31" max="31" width="28.42578125" style="3" hidden="1" customWidth="1" outlineLevel="1"/>
    <col min="32" max="32" width="15.5703125" style="3" hidden="1" customWidth="1" outlineLevel="1"/>
    <col min="33" max="33" width="21.42578125" style="3" customWidth="1" collapsed="1"/>
    <col min="34" max="34" width="17.42578125" style="3" customWidth="1"/>
    <col min="35" max="35" width="18" style="3" customWidth="1"/>
    <col min="36" max="36" width="21.42578125" style="3" customWidth="1"/>
    <col min="37" max="37" width="20.42578125" style="109" hidden="1" customWidth="1" outlineLevel="1"/>
    <col min="38" max="38" width="18" style="3" hidden="1" customWidth="1" outlineLevel="1"/>
    <col min="39" max="39" width="9.42578125" style="3" collapsed="1"/>
    <col min="40" max="16384" width="9.42578125" style="3"/>
  </cols>
  <sheetData>
    <row r="1" spans="1:38" ht="27.75" customHeight="1" x14ac:dyDescent="0.3">
      <c r="A1" s="266" t="str">
        <f>Pasākumu_līmenis!A2</f>
        <v>Sagatavots 15.01.2026.</v>
      </c>
      <c r="B1" s="142"/>
      <c r="C1" s="142"/>
      <c r="D1" s="496" t="str">
        <f ca="1">Pasākumu_līmenis!A1</f>
        <v>2014.-2020. gada plānošanas perioda ES fondu ieviešanas statuss (ES fondu daļa, EUR) uz 31.12.2025</v>
      </c>
      <c r="E1" s="496"/>
      <c r="F1" s="496"/>
      <c r="G1" s="496"/>
      <c r="H1" s="496"/>
      <c r="I1" s="496"/>
      <c r="J1" s="496"/>
      <c r="K1" s="496"/>
      <c r="L1" s="496"/>
      <c r="M1" s="496"/>
      <c r="N1" s="496"/>
      <c r="O1" s="496"/>
      <c r="P1" s="496"/>
      <c r="Q1" s="496"/>
      <c r="R1" s="496"/>
      <c r="S1" s="496"/>
      <c r="T1" s="496"/>
      <c r="U1" s="496"/>
      <c r="V1" s="496"/>
      <c r="W1" s="496"/>
      <c r="X1" s="496"/>
      <c r="Y1" s="496"/>
      <c r="Z1" s="496"/>
      <c r="AA1" s="496"/>
      <c r="AB1" s="496"/>
      <c r="AC1" s="496"/>
      <c r="AD1" s="496"/>
      <c r="AE1" s="496"/>
      <c r="AF1" s="496"/>
      <c r="AG1" s="496"/>
      <c r="AH1" s="496"/>
      <c r="AI1" s="496"/>
      <c r="AJ1" s="496"/>
    </row>
    <row r="2" spans="1:38" ht="12.75" customHeight="1" x14ac:dyDescent="0.35">
      <c r="C2" s="13"/>
      <c r="AJ2" s="25"/>
    </row>
    <row r="3" spans="1:38" ht="21.75" customHeight="1" x14ac:dyDescent="0.3">
      <c r="A3" s="498" t="s">
        <v>154</v>
      </c>
      <c r="B3" s="498"/>
      <c r="C3" s="498"/>
      <c r="D3" s="498"/>
      <c r="E3" s="498"/>
      <c r="F3" s="498"/>
      <c r="G3" s="269"/>
      <c r="H3" s="499" t="s">
        <v>156</v>
      </c>
      <c r="I3" s="500"/>
      <c r="J3" s="500"/>
      <c r="K3" s="501"/>
      <c r="L3" s="498" t="s">
        <v>615</v>
      </c>
      <c r="M3" s="498"/>
      <c r="N3" s="498"/>
      <c r="O3" s="498"/>
      <c r="P3" s="498"/>
      <c r="Q3" s="498"/>
      <c r="R3" s="498"/>
      <c r="S3" s="498" t="s">
        <v>413</v>
      </c>
      <c r="T3" s="498"/>
      <c r="U3" s="498"/>
      <c r="V3" s="498"/>
      <c r="W3" s="498"/>
      <c r="X3" s="498"/>
      <c r="Y3" s="498"/>
      <c r="Z3" s="498" t="s">
        <v>414</v>
      </c>
      <c r="AA3" s="498"/>
      <c r="AB3" s="498"/>
      <c r="AC3" s="498"/>
      <c r="AD3" s="498"/>
      <c r="AE3" s="498"/>
      <c r="AF3" s="498"/>
      <c r="AG3" s="498" t="s">
        <v>155</v>
      </c>
      <c r="AH3" s="498"/>
      <c r="AI3" s="498"/>
      <c r="AJ3" s="498"/>
      <c r="AK3" s="498"/>
      <c r="AL3" s="498"/>
    </row>
    <row r="4" spans="1:38" ht="97.5" customHeight="1" x14ac:dyDescent="0.3">
      <c r="A4" s="140" t="s">
        <v>3</v>
      </c>
      <c r="B4" s="68" t="s">
        <v>157</v>
      </c>
      <c r="C4" s="68" t="s">
        <v>1240</v>
      </c>
      <c r="D4" s="68" t="s">
        <v>11</v>
      </c>
      <c r="E4" s="28" t="s">
        <v>2</v>
      </c>
      <c r="F4" s="68" t="s">
        <v>463</v>
      </c>
      <c r="G4" s="68" t="s">
        <v>1280</v>
      </c>
      <c r="H4" s="68" t="s">
        <v>419</v>
      </c>
      <c r="I4" s="14" t="s">
        <v>158</v>
      </c>
      <c r="J4" s="14" t="s">
        <v>409</v>
      </c>
      <c r="K4" s="14" t="str">
        <f>Pasākumu_līmenis!I4</f>
        <v>Snieguma rezerve atbilstoši MK noteikumiem,
ES fondu finansējums (pēdējo reizi aktualizēta 08.06.2020)</v>
      </c>
      <c r="L4" s="14" t="s">
        <v>406</v>
      </c>
      <c r="M4" s="14" t="s">
        <v>407</v>
      </c>
      <c r="N4" s="14" t="s">
        <v>1255</v>
      </c>
      <c r="O4" s="14" t="s">
        <v>460</v>
      </c>
      <c r="P4" s="14" t="s">
        <v>412</v>
      </c>
      <c r="Q4" s="15" t="s">
        <v>388</v>
      </c>
      <c r="R4" s="15" t="s">
        <v>396</v>
      </c>
      <c r="S4" s="14" t="s">
        <v>406</v>
      </c>
      <c r="T4" s="14" t="s">
        <v>407</v>
      </c>
      <c r="U4" s="14" t="s">
        <v>1255</v>
      </c>
      <c r="V4" s="14" t="s">
        <v>460</v>
      </c>
      <c r="W4" s="14" t="s">
        <v>412</v>
      </c>
      <c r="X4" s="110" t="s">
        <v>423</v>
      </c>
      <c r="Y4" s="15" t="s">
        <v>397</v>
      </c>
      <c r="Z4" s="14" t="s">
        <v>406</v>
      </c>
      <c r="AA4" s="14" t="s">
        <v>407</v>
      </c>
      <c r="AB4" s="14" t="s">
        <v>1255</v>
      </c>
      <c r="AC4" s="14" t="s">
        <v>460</v>
      </c>
      <c r="AD4" s="14" t="s">
        <v>412</v>
      </c>
      <c r="AE4" s="15" t="s">
        <v>422</v>
      </c>
      <c r="AF4" s="15" t="s">
        <v>398</v>
      </c>
      <c r="AG4" s="14" t="s">
        <v>410</v>
      </c>
      <c r="AH4" s="14" t="s">
        <v>408</v>
      </c>
      <c r="AI4" s="14" t="s">
        <v>426</v>
      </c>
      <c r="AJ4" s="14" t="s">
        <v>460</v>
      </c>
      <c r="AK4" s="110" t="s">
        <v>421</v>
      </c>
      <c r="AL4" s="15" t="s">
        <v>399</v>
      </c>
    </row>
    <row r="5" spans="1:38" ht="20.25" customHeight="1" x14ac:dyDescent="0.3">
      <c r="A5" s="4" t="s">
        <v>0</v>
      </c>
      <c r="B5" s="101" t="s">
        <v>4</v>
      </c>
      <c r="C5" s="4" t="s">
        <v>1238</v>
      </c>
      <c r="D5" s="4" t="s">
        <v>7</v>
      </c>
      <c r="E5" s="4" t="s">
        <v>153</v>
      </c>
      <c r="F5" s="4" t="s">
        <v>152</v>
      </c>
      <c r="G5" s="4"/>
      <c r="H5" s="131" t="s">
        <v>12</v>
      </c>
      <c r="I5" s="132" t="s">
        <v>10</v>
      </c>
      <c r="J5" s="132" t="s">
        <v>427</v>
      </c>
      <c r="K5" s="132" t="s">
        <v>614</v>
      </c>
      <c r="L5" s="132" t="s">
        <v>18</v>
      </c>
      <c r="M5" s="90" t="s">
        <v>373</v>
      </c>
      <c r="N5" s="90" t="s">
        <v>22</v>
      </c>
      <c r="O5" s="90" t="s">
        <v>23</v>
      </c>
      <c r="P5" s="90" t="s">
        <v>24</v>
      </c>
      <c r="Q5" s="103"/>
      <c r="R5" s="91"/>
      <c r="S5" s="90" t="s">
        <v>29</v>
      </c>
      <c r="T5" s="90" t="s">
        <v>374</v>
      </c>
      <c r="U5" s="90" t="s">
        <v>32</v>
      </c>
      <c r="V5" s="90" t="s">
        <v>45</v>
      </c>
      <c r="W5" s="90" t="s">
        <v>47</v>
      </c>
      <c r="X5" s="111"/>
      <c r="Y5" s="92"/>
      <c r="Z5" s="90" t="s">
        <v>51</v>
      </c>
      <c r="AA5" s="90" t="s">
        <v>375</v>
      </c>
      <c r="AB5" s="90" t="s">
        <v>53</v>
      </c>
      <c r="AC5" s="90" t="s">
        <v>54</v>
      </c>
      <c r="AD5" s="90" t="s">
        <v>55</v>
      </c>
      <c r="AE5" s="103"/>
      <c r="AF5" s="130"/>
      <c r="AG5" s="90" t="s">
        <v>71</v>
      </c>
      <c r="AH5" s="90" t="s">
        <v>376</v>
      </c>
      <c r="AI5" s="90" t="s">
        <v>73</v>
      </c>
      <c r="AJ5" s="90" t="s">
        <v>74</v>
      </c>
      <c r="AK5" s="92"/>
      <c r="AL5" s="92"/>
    </row>
    <row r="6" spans="1:38" ht="31.5" customHeight="1" x14ac:dyDescent="0.3">
      <c r="A6" s="105"/>
      <c r="B6" s="93" t="s">
        <v>227</v>
      </c>
      <c r="C6" s="93" t="s">
        <v>227</v>
      </c>
      <c r="D6" s="170"/>
      <c r="E6" s="6"/>
      <c r="F6" s="6"/>
      <c r="G6" s="6"/>
      <c r="H6" s="183">
        <f>SUM(H8:H13)+H235</f>
        <v>4640676789</v>
      </c>
      <c r="I6" s="183">
        <f>SUM(I8:I13)+I235</f>
        <v>216793929</v>
      </c>
      <c r="J6" s="183">
        <f>SUM(J8:J13)+J235</f>
        <v>4857470718</v>
      </c>
      <c r="K6" s="183">
        <f t="shared" ref="K6:L6" si="0">SUM(K8:K13)</f>
        <v>190574922.68716913</v>
      </c>
      <c r="L6" s="183">
        <f t="shared" si="0"/>
        <v>4529278138.5799999</v>
      </c>
      <c r="M6" s="184">
        <f>L6/$H6</f>
        <v>0.97599517150514481</v>
      </c>
      <c r="N6" s="184">
        <f>M6-R6</f>
        <v>0</v>
      </c>
      <c r="O6" s="184">
        <f>(L6-Q6)/Q6</f>
        <v>0</v>
      </c>
      <c r="P6" s="183">
        <f>SUM(P8:P13)</f>
        <v>2451</v>
      </c>
      <c r="Q6" s="183">
        <v>4529278138.5799999</v>
      </c>
      <c r="R6" s="184">
        <v>0.97599517150514481</v>
      </c>
      <c r="S6" s="183">
        <f>SUM(S8:S13)</f>
        <v>4529278138.5799999</v>
      </c>
      <c r="T6" s="184">
        <f>S6/$H6</f>
        <v>0.97599517150514481</v>
      </c>
      <c r="U6" s="185">
        <f>T6-Y6</f>
        <v>0</v>
      </c>
      <c r="V6" s="185">
        <f>(S6-X6)/X6</f>
        <v>0</v>
      </c>
      <c r="W6" s="186">
        <f>SUM(W8:W13)</f>
        <v>2451</v>
      </c>
      <c r="X6" s="183">
        <v>4529278138.5799999</v>
      </c>
      <c r="Y6" s="184">
        <v>0.97599517150514481</v>
      </c>
      <c r="Z6" s="183">
        <f>SUM(Z8:Z13)</f>
        <v>4529278138.5799999</v>
      </c>
      <c r="AA6" s="184">
        <f>Z6/$H6</f>
        <v>0.97599517150514481</v>
      </c>
      <c r="AB6" s="184">
        <f>AA6-AF6</f>
        <v>0</v>
      </c>
      <c r="AC6" s="184">
        <f t="shared" ref="AC6:AC75" si="1">IFERROR(((Z6-AE6)/AE6),0)</f>
        <v>0</v>
      </c>
      <c r="AD6" s="183">
        <f>SUM(AD8:AD13)</f>
        <v>2451</v>
      </c>
      <c r="AE6" s="183">
        <v>4529278138.5799999</v>
      </c>
      <c r="AF6" s="184">
        <v>0.97599517150514481</v>
      </c>
      <c r="AG6" s="183">
        <f>SUM(AG8:AG13)</f>
        <v>4497693061.5600004</v>
      </c>
      <c r="AH6" s="184">
        <f>AG6/$H6</f>
        <v>0.96918903557797431</v>
      </c>
      <c r="AI6" s="184">
        <f>AH6-AL6</f>
        <v>-5.4860286888280818E-5</v>
      </c>
      <c r="AJ6" s="184">
        <f>IFERROR(((AG6-AK6)/AK6),0)</f>
        <v>-5.6601116728612401E-5</v>
      </c>
      <c r="AK6" s="183">
        <v>4497947650.420001</v>
      </c>
      <c r="AL6" s="184">
        <v>0.96924389586486259</v>
      </c>
    </row>
    <row r="7" spans="1:38" ht="7.5" customHeight="1" x14ac:dyDescent="0.3">
      <c r="A7" s="102"/>
      <c r="B7" s="8"/>
      <c r="C7" s="8"/>
      <c r="D7" s="4"/>
      <c r="E7" s="8"/>
      <c r="F7" s="8"/>
      <c r="G7" s="8"/>
      <c r="H7" s="187"/>
      <c r="I7" s="187"/>
      <c r="J7" s="187"/>
      <c r="K7" s="187"/>
      <c r="L7" s="187"/>
      <c r="M7" s="188"/>
      <c r="N7" s="188"/>
      <c r="O7" s="188"/>
      <c r="P7" s="187"/>
      <c r="Q7" s="187"/>
      <c r="R7" s="188"/>
      <c r="S7" s="187"/>
      <c r="T7" s="188"/>
      <c r="U7" s="188"/>
      <c r="V7" s="188"/>
      <c r="W7" s="187"/>
      <c r="X7" s="187"/>
      <c r="Y7" s="188"/>
      <c r="Z7" s="187"/>
      <c r="AA7" s="188"/>
      <c r="AB7" s="188"/>
      <c r="AC7" s="188"/>
      <c r="AD7" s="187"/>
      <c r="AE7" s="187"/>
      <c r="AF7" s="188"/>
      <c r="AG7" s="187"/>
      <c r="AH7" s="188"/>
      <c r="AI7" s="188"/>
      <c r="AJ7" s="188"/>
      <c r="AK7" s="187"/>
      <c r="AL7" s="188"/>
    </row>
    <row r="8" spans="1:38" ht="20.25" x14ac:dyDescent="0.3">
      <c r="A8" s="105"/>
      <c r="B8" s="6" t="s">
        <v>231</v>
      </c>
      <c r="C8" s="6" t="s">
        <v>231</v>
      </c>
      <c r="D8" s="7" t="s">
        <v>253</v>
      </c>
      <c r="E8" s="6"/>
      <c r="F8" s="6"/>
      <c r="G8" s="6"/>
      <c r="H8" s="183">
        <f>SUMIF(E15:E237,"ESF",H15:H237)</f>
        <v>675925610</v>
      </c>
      <c r="I8" s="183">
        <f>SUMIF(E15:E237,"ESF",I15:I237)</f>
        <v>1589796</v>
      </c>
      <c r="J8" s="183">
        <f>SUMIF(E15:E237,"ESF",J15:J237)</f>
        <v>677515406</v>
      </c>
      <c r="K8" s="183">
        <f>K58+K126-K9+K148+K153+K166+K168+K173+K185+K207</f>
        <v>18276798.709648199</v>
      </c>
      <c r="L8" s="183">
        <f>SUMIF(E15:E237,"ESF",L15:L237)</f>
        <v>667741575.72000027</v>
      </c>
      <c r="M8" s="184">
        <f>L8/$H8</f>
        <v>0.98789210800875005</v>
      </c>
      <c r="N8" s="184">
        <f>M8-R8</f>
        <v>0</v>
      </c>
      <c r="O8" s="184">
        <f>(L8-Q8)/Q8</f>
        <v>0</v>
      </c>
      <c r="P8" s="183">
        <f>SUMIF(E15:E237,"ESF",P15:P237)</f>
        <v>325</v>
      </c>
      <c r="Q8" s="183">
        <v>667741575.72000027</v>
      </c>
      <c r="R8" s="184">
        <v>0.98789210800875005</v>
      </c>
      <c r="S8" s="183">
        <f>SUMIF(E15:E237,"ESF",S15:S237)</f>
        <v>667741575.72000027</v>
      </c>
      <c r="T8" s="184">
        <f>S8/$H8</f>
        <v>0.98789210800875005</v>
      </c>
      <c r="U8" s="184">
        <f>T8-Y8</f>
        <v>0</v>
      </c>
      <c r="V8" s="184">
        <f t="shared" ref="V8:V15" si="2">(S8-X8)/X8</f>
        <v>0</v>
      </c>
      <c r="W8" s="183">
        <f>SUMIF(E15:E237,"ESF",W15:W237)</f>
        <v>325</v>
      </c>
      <c r="X8" s="183">
        <v>667741575.72000027</v>
      </c>
      <c r="Y8" s="184">
        <v>0.98789210800875005</v>
      </c>
      <c r="Z8" s="183">
        <f>SUMIF(E15:E237,"ESF",Z15:Z237)</f>
        <v>667741575.72000027</v>
      </c>
      <c r="AA8" s="184">
        <f>Z8/$H8</f>
        <v>0.98789210800875005</v>
      </c>
      <c r="AB8" s="184">
        <f>AA8-AF8</f>
        <v>0</v>
      </c>
      <c r="AC8" s="184">
        <f t="shared" si="1"/>
        <v>0</v>
      </c>
      <c r="AD8" s="183">
        <f>SUMIF(E15:E237,"ESF",AD15:AD237)</f>
        <v>325</v>
      </c>
      <c r="AE8" s="183">
        <v>667741575.72000027</v>
      </c>
      <c r="AF8" s="184">
        <v>0.98789210800875005</v>
      </c>
      <c r="AG8" s="183">
        <f>SUMIF(E15:E237,"ESF",AG15:AG237)</f>
        <v>667124835.28000021</v>
      </c>
      <c r="AH8" s="184">
        <f>AG8/$H8</f>
        <v>0.98697966967104589</v>
      </c>
      <c r="AI8" s="184">
        <f>AH8-AL8</f>
        <v>0</v>
      </c>
      <c r="AJ8" s="184">
        <f t="shared" ref="AJ8:AJ77" si="3">IFERROR(((AG8-AK8)/AK8),0)</f>
        <v>0</v>
      </c>
      <c r="AK8" s="183">
        <v>667124835.28000021</v>
      </c>
      <c r="AL8" s="184">
        <v>0.98697966967104589</v>
      </c>
    </row>
    <row r="9" spans="1:38" ht="20.25" x14ac:dyDescent="0.3">
      <c r="A9" s="105"/>
      <c r="B9" s="18" t="s">
        <v>232</v>
      </c>
      <c r="C9" s="18" t="s">
        <v>232</v>
      </c>
      <c r="D9" s="7" t="s">
        <v>253</v>
      </c>
      <c r="E9" s="6"/>
      <c r="F9" s="6"/>
      <c r="G9" s="6"/>
      <c r="H9" s="183">
        <f>SUMIF(E15:E237,"JNI",H15:H237)</f>
        <v>29010639</v>
      </c>
      <c r="I9" s="183">
        <f>SUMIF(E15:E237,"JNI",I15:I237)</f>
        <v>0</v>
      </c>
      <c r="J9" s="183">
        <f>SUMIF(E15:E237,"JNI",J15:J237)</f>
        <v>29010639</v>
      </c>
      <c r="K9" s="183">
        <f>K135+K137</f>
        <v>0</v>
      </c>
      <c r="L9" s="183">
        <f>SUMIF(E15:E237,"JNI",L15:L237)</f>
        <v>28810403.620000001</v>
      </c>
      <c r="M9" s="184">
        <f>L9/$H9</f>
        <v>0.99309786385608401</v>
      </c>
      <c r="N9" s="184">
        <f>M9-R9</f>
        <v>0</v>
      </c>
      <c r="O9" s="184">
        <f>(L9-Q9)/Q9</f>
        <v>0</v>
      </c>
      <c r="P9" s="183">
        <f>SUMIF(E15:E237,"JNI",P15:P237)</f>
        <v>2</v>
      </c>
      <c r="Q9" s="183">
        <v>28810403.620000001</v>
      </c>
      <c r="R9" s="184">
        <v>0.99309786385608401</v>
      </c>
      <c r="S9" s="183">
        <f>SUMIF(E15:E237,"JNI",S15:S237)</f>
        <v>28810403.620000001</v>
      </c>
      <c r="T9" s="184">
        <f>S9/$H9</f>
        <v>0.99309786385608401</v>
      </c>
      <c r="U9" s="184">
        <f>T9-Y9</f>
        <v>0</v>
      </c>
      <c r="V9" s="184">
        <f t="shared" si="2"/>
        <v>0</v>
      </c>
      <c r="W9" s="183">
        <f>SUMIF(E15:E237,"JNI",W15:W237)</f>
        <v>2</v>
      </c>
      <c r="X9" s="183">
        <v>28810403.620000001</v>
      </c>
      <c r="Y9" s="184">
        <v>0.99309786385608401</v>
      </c>
      <c r="Z9" s="189">
        <f>SUMIF(E15:E237,"JNI",Z15:Z237)</f>
        <v>28810403.620000001</v>
      </c>
      <c r="AA9" s="184">
        <f>Z9/$H9</f>
        <v>0.99309786385608401</v>
      </c>
      <c r="AB9" s="184">
        <f>AA9-AF9</f>
        <v>0</v>
      </c>
      <c r="AC9" s="184">
        <f t="shared" si="1"/>
        <v>0</v>
      </c>
      <c r="AD9" s="183">
        <f>SUMIF(E15:E237,"JNI",AD15:AD237)</f>
        <v>2</v>
      </c>
      <c r="AE9" s="190">
        <v>28810403.620000001</v>
      </c>
      <c r="AF9" s="184">
        <v>0.99309786385608401</v>
      </c>
      <c r="AG9" s="183">
        <f>SUMIF(E15:E237,"JNI",AG15:AG237)</f>
        <v>28810403.620000001</v>
      </c>
      <c r="AH9" s="184">
        <f>AG9/$H9</f>
        <v>0.99309786385608401</v>
      </c>
      <c r="AI9" s="184">
        <f>AH9-AL9</f>
        <v>0</v>
      </c>
      <c r="AJ9" s="184">
        <f t="shared" si="3"/>
        <v>0</v>
      </c>
      <c r="AK9" s="183">
        <v>28810403.620000001</v>
      </c>
      <c r="AL9" s="184">
        <v>0.99309786385608401</v>
      </c>
    </row>
    <row r="10" spans="1:38" ht="20.25" x14ac:dyDescent="0.3">
      <c r="A10" s="105"/>
      <c r="B10" s="6" t="s">
        <v>229</v>
      </c>
      <c r="C10" s="6" t="s">
        <v>229</v>
      </c>
      <c r="D10" s="7" t="s">
        <v>253</v>
      </c>
      <c r="E10" s="6"/>
      <c r="F10" s="6"/>
      <c r="G10" s="6"/>
      <c r="H10" s="183">
        <f>SUMIF(E15:E237,"ERAF",H15:H237)</f>
        <v>2465883158</v>
      </c>
      <c r="I10" s="183">
        <f>SUMIF(E15:E237,"ERAF",I15:I237)</f>
        <v>27390925</v>
      </c>
      <c r="J10" s="183">
        <f>SUMIF(E15:E237,"ERAF",J15:J237)</f>
        <v>2493274083</v>
      </c>
      <c r="K10" s="183">
        <f>K15+K32+K40+K52+K56+K67+K74+K81+K92+K100+K102+K125+K143+K201+K212</f>
        <v>104744861.36031561</v>
      </c>
      <c r="L10" s="183">
        <f>SUMIF(E15:E237,"ERAF",L15:L237)</f>
        <v>2345956204.1599998</v>
      </c>
      <c r="M10" s="184">
        <f>L10/$H10</f>
        <v>0.95136551646783252</v>
      </c>
      <c r="N10" s="184">
        <f>M10-R10</f>
        <v>0</v>
      </c>
      <c r="O10" s="184">
        <f>(L10-Q10)/Q10</f>
        <v>0</v>
      </c>
      <c r="P10" s="183">
        <f>SUMIF(E15:E237,"ERAF",P15:P237)</f>
        <v>1600</v>
      </c>
      <c r="Q10" s="183">
        <v>2345956204.1599998</v>
      </c>
      <c r="R10" s="184">
        <v>0.95136551646783252</v>
      </c>
      <c r="S10" s="183">
        <f>SUMIF(E15:E237,"ERAF",S15:S237)</f>
        <v>2345956204.1599998</v>
      </c>
      <c r="T10" s="184">
        <f>S10/$H10</f>
        <v>0.95136551646783252</v>
      </c>
      <c r="U10" s="184">
        <f>T10-Y10</f>
        <v>0</v>
      </c>
      <c r="V10" s="184">
        <f t="shared" si="2"/>
        <v>0</v>
      </c>
      <c r="W10" s="183">
        <f>SUMIF(E15:E237,"ERAF",W15:W237)</f>
        <v>1600</v>
      </c>
      <c r="X10" s="183">
        <v>2345956204.1599998</v>
      </c>
      <c r="Y10" s="184">
        <v>0.95136551646783252</v>
      </c>
      <c r="Z10" s="183">
        <f>SUMIF(E15:E237,"ERAF",Z15:Z237)</f>
        <v>2345956204.1599998</v>
      </c>
      <c r="AA10" s="184">
        <f>Z10/$H10</f>
        <v>0.95136551646783252</v>
      </c>
      <c r="AB10" s="184">
        <f>AA10-AF10</f>
        <v>0</v>
      </c>
      <c r="AC10" s="184">
        <f t="shared" si="1"/>
        <v>0</v>
      </c>
      <c r="AD10" s="183">
        <f>SUMIF(E15:E237,"ERAF",AD15:AD237)</f>
        <v>1600</v>
      </c>
      <c r="AE10" s="183">
        <v>2345956204.1599998</v>
      </c>
      <c r="AF10" s="184">
        <v>0.95136551646783252</v>
      </c>
      <c r="AG10" s="183">
        <f>SUMIF(E15:E237,"ERAF",AG15:AG237)</f>
        <v>2315245571.4000001</v>
      </c>
      <c r="AH10" s="184">
        <f>AG10/$H10</f>
        <v>0.93891130400429135</v>
      </c>
      <c r="AI10" s="184">
        <f>AH10-AL10</f>
        <v>-5.6571926186910204E-5</v>
      </c>
      <c r="AJ10" s="184">
        <f t="shared" si="3"/>
        <v>-6.0249053920807718E-5</v>
      </c>
      <c r="AK10" s="183">
        <v>2315385071.1599998</v>
      </c>
      <c r="AL10" s="184">
        <v>0.93896787593047826</v>
      </c>
    </row>
    <row r="11" spans="1:38" ht="20.25" x14ac:dyDescent="0.3">
      <c r="A11" s="105"/>
      <c r="B11" s="6" t="s">
        <v>230</v>
      </c>
      <c r="C11" s="6" t="s">
        <v>230</v>
      </c>
      <c r="D11" s="7" t="s">
        <v>253</v>
      </c>
      <c r="E11" s="6"/>
      <c r="F11" s="6"/>
      <c r="G11" s="6"/>
      <c r="H11" s="183">
        <f>SUMIF(E15:E237,"KF",H15:H237)</f>
        <v>1238174873</v>
      </c>
      <c r="I11" s="183">
        <f>SUMIF(E15:E237,"KF",I15:I237)</f>
        <v>195212967</v>
      </c>
      <c r="J11" s="183">
        <f>SUMIF(E15:E237,"KF",J15:J237)</f>
        <v>1433387840</v>
      </c>
      <c r="K11" s="183">
        <f>K65+K72+K76+K84+K89+K94+K106-K124+K214+K98</f>
        <v>67553262.617205307</v>
      </c>
      <c r="L11" s="183">
        <f>SUMIF(E15:E237,"KF",L15:L237)</f>
        <v>1292653271.4099998</v>
      </c>
      <c r="M11" s="184">
        <f>L11/$H11</f>
        <v>1.0439989532964782</v>
      </c>
      <c r="N11" s="184">
        <f>M11-R11</f>
        <v>0</v>
      </c>
      <c r="O11" s="184">
        <f>(L11-Q11)/Q11</f>
        <v>0</v>
      </c>
      <c r="P11" s="183">
        <f>SUMIF(E15:E237,"KF",P15:P237)</f>
        <v>394</v>
      </c>
      <c r="Q11" s="183">
        <v>1292653271.4099998</v>
      </c>
      <c r="R11" s="184">
        <v>1.0439989532964782</v>
      </c>
      <c r="S11" s="183">
        <f>SUMIF(E15:E237,"KF",S15:S237)</f>
        <v>1292653271.4099998</v>
      </c>
      <c r="T11" s="184">
        <f>S11/$H11</f>
        <v>1.0439989532964782</v>
      </c>
      <c r="U11" s="184">
        <f>T11-Y11</f>
        <v>0</v>
      </c>
      <c r="V11" s="184">
        <f t="shared" si="2"/>
        <v>0</v>
      </c>
      <c r="W11" s="183">
        <f>SUMIF(E15:E237,"KF",W15:W237)</f>
        <v>394</v>
      </c>
      <c r="X11" s="183">
        <v>1292653271.4099998</v>
      </c>
      <c r="Y11" s="184">
        <v>1.0439989532964782</v>
      </c>
      <c r="Z11" s="183">
        <f>SUMIF(E15:E237,"KF",Z15:Z237)</f>
        <v>1292653271.4099998</v>
      </c>
      <c r="AA11" s="184">
        <f>Z11/$H11</f>
        <v>1.0439989532964782</v>
      </c>
      <c r="AB11" s="184">
        <f>AA11-AF11</f>
        <v>0</v>
      </c>
      <c r="AC11" s="184">
        <f t="shared" si="1"/>
        <v>0</v>
      </c>
      <c r="AD11" s="183">
        <f>SUMIF(E15:E237,"KF",AD15:AD237)</f>
        <v>394</v>
      </c>
      <c r="AE11" s="183">
        <v>1292653271.4099998</v>
      </c>
      <c r="AF11" s="184">
        <v>1.0439989532964782</v>
      </c>
      <c r="AG11" s="183">
        <f>SUMIF(E15:E237,"KF",AG15:AG237)</f>
        <v>1295013506.5199997</v>
      </c>
      <c r="AH11" s="184">
        <f>AG11/$H11</f>
        <v>1.045905174430074</v>
      </c>
      <c r="AI11" s="184">
        <f>AH11-AL11</f>
        <v>-9.2950602140096095E-5</v>
      </c>
      <c r="AJ11" s="184">
        <f t="shared" si="3"/>
        <v>-8.8863067643910648E-5</v>
      </c>
      <c r="AK11" s="183">
        <v>1295128595.6199999</v>
      </c>
      <c r="AL11" s="184">
        <v>1.0459981250322141</v>
      </c>
    </row>
    <row r="12" spans="1:38" ht="20.25" x14ac:dyDescent="0.3">
      <c r="A12" s="105"/>
      <c r="B12" s="6" t="s">
        <v>1348</v>
      </c>
      <c r="C12" s="6"/>
      <c r="D12" s="7"/>
      <c r="E12" s="6"/>
      <c r="F12" s="6"/>
      <c r="G12" s="6"/>
      <c r="H12" s="183">
        <f>SUMIF(E15:E237,"ReactEU ERAF",H15:H237)</f>
        <v>199954500</v>
      </c>
      <c r="I12" s="183">
        <f>SUMIF(E15:E237,"ReactEU ERAF",I15:I237)</f>
        <v>1</v>
      </c>
      <c r="J12" s="183">
        <f>SUMIF(E15:E237,"ReactEU ERAF",J15:J237)</f>
        <v>199954501</v>
      </c>
      <c r="K12" s="183">
        <v>0</v>
      </c>
      <c r="L12" s="183">
        <f>SUMIF(E15:E237,"ReactEU ERAF",L15:L237)</f>
        <v>172648849.45000002</v>
      </c>
      <c r="M12" s="184">
        <f t="shared" ref="M12:M13" si="4">L12/$H12</f>
        <v>0.8634406800047012</v>
      </c>
      <c r="N12" s="184">
        <f t="shared" ref="N12:N13" si="5">M12-R12</f>
        <v>0</v>
      </c>
      <c r="O12" s="184">
        <f>IFERROR((L12-Q12)/Q12,0)</f>
        <v>0</v>
      </c>
      <c r="P12" s="183">
        <f>SUMIF(E15:E237,"ReactEU ERAF",P15:P237)</f>
        <v>126</v>
      </c>
      <c r="Q12" s="183">
        <v>172648849.45000002</v>
      </c>
      <c r="R12" s="183">
        <v>0.8634406800047012</v>
      </c>
      <c r="S12" s="183">
        <f>SUMIF(E15:E237,"ReactEU ERAF",S15:S237)</f>
        <v>172648849.45000002</v>
      </c>
      <c r="T12" s="184">
        <f t="shared" ref="T12:T13" si="6">S12/$H12</f>
        <v>0.8634406800047012</v>
      </c>
      <c r="U12" s="184">
        <f t="shared" ref="U12:U13" si="7">T12-Y12</f>
        <v>0</v>
      </c>
      <c r="V12" s="184">
        <f>IFERROR((S12-X12)/X12,0)</f>
        <v>0</v>
      </c>
      <c r="W12" s="183">
        <f>SUMIF(E15:E237,"ReactEU ERAF",W15:W237)</f>
        <v>126</v>
      </c>
      <c r="X12" s="183">
        <v>172648849.45000002</v>
      </c>
      <c r="Y12" s="184">
        <v>0.8634406800047012</v>
      </c>
      <c r="Z12" s="183">
        <f>SUMIF(E15:E237,"ReactEU ERAF",Z15:Z237)</f>
        <v>172648849.45000002</v>
      </c>
      <c r="AA12" s="184">
        <f t="shared" ref="AA12:AA13" si="8">Z12/$H12</f>
        <v>0.8634406800047012</v>
      </c>
      <c r="AB12" s="184">
        <f t="shared" ref="AB12:AB13" si="9">AA12-AF12</f>
        <v>0</v>
      </c>
      <c r="AC12" s="184">
        <f t="shared" ref="AC12:AC13" si="10">IFERROR(((Z12-AE12)/AE12),0)</f>
        <v>0</v>
      </c>
      <c r="AD12" s="183">
        <f>SUMIF(E15:E237,"ReactEU ERAF",AD15:AD237)</f>
        <v>126</v>
      </c>
      <c r="AE12" s="183">
        <v>172648849.45000002</v>
      </c>
      <c r="AF12" s="183">
        <v>0.8634406800047012</v>
      </c>
      <c r="AG12" s="183">
        <f>SUMIF(E15:E237,"ReactEU ERAF",AG15:AG237)</f>
        <v>170369875.22000003</v>
      </c>
      <c r="AH12" s="184">
        <f t="shared" ref="AH12:AH13" si="11">AG12/$H12</f>
        <v>0.85204321593162458</v>
      </c>
      <c r="AI12" s="184">
        <f t="shared" ref="AI12:AI13" si="12">AH12-AL12</f>
        <v>0</v>
      </c>
      <c r="AJ12" s="184">
        <f t="shared" ref="AJ12:AJ13" si="13">IFERROR(((AG12-AK12)/AK12),0)</f>
        <v>0</v>
      </c>
      <c r="AK12" s="183">
        <v>170369875.22000003</v>
      </c>
      <c r="AL12" s="184">
        <v>0.85204321593162458</v>
      </c>
    </row>
    <row r="13" spans="1:38" ht="20.25" x14ac:dyDescent="0.3">
      <c r="A13" s="105"/>
      <c r="B13" s="6" t="s">
        <v>1349</v>
      </c>
      <c r="C13" s="6"/>
      <c r="D13" s="7"/>
      <c r="E13" s="6"/>
      <c r="F13" s="6"/>
      <c r="G13" s="6"/>
      <c r="H13" s="183">
        <f>SUMIF(E15:E237,"ReactEU ESF",H15:H237)</f>
        <v>22489087</v>
      </c>
      <c r="I13" s="183">
        <f>SUMIF(E15:E237,"ReactEU ESF",I15:I237)</f>
        <v>0</v>
      </c>
      <c r="J13" s="183">
        <f>SUMIF(E15:E237,"ReactEU ESF",J15:J237)</f>
        <v>22489087</v>
      </c>
      <c r="K13" s="183">
        <v>0</v>
      </c>
      <c r="L13" s="183">
        <f>SUMIF(E15:E237,"ReactEU ESF",L15:L237)</f>
        <v>21467834.219999999</v>
      </c>
      <c r="M13" s="184">
        <f t="shared" si="4"/>
        <v>0.95458896219308498</v>
      </c>
      <c r="N13" s="184">
        <f t="shared" si="5"/>
        <v>0</v>
      </c>
      <c r="O13" s="184">
        <f>IFERROR((L13-Q13)/Q13,0)</f>
        <v>0</v>
      </c>
      <c r="P13" s="183">
        <f>SUMIF(E15:E237,"ReactEU ESF",P15:P237)</f>
        <v>4</v>
      </c>
      <c r="Q13" s="183">
        <v>21467834.219999999</v>
      </c>
      <c r="R13" s="183">
        <v>0.95458896219308498</v>
      </c>
      <c r="S13" s="183">
        <f>SUMIF(E15:E237,"ReactEU ESF",S15:S237)</f>
        <v>21467834.219999999</v>
      </c>
      <c r="T13" s="184">
        <f t="shared" si="6"/>
        <v>0.95458896219308498</v>
      </c>
      <c r="U13" s="184">
        <f t="shared" si="7"/>
        <v>0</v>
      </c>
      <c r="V13" s="184">
        <f>IFERROR((S13-X13)/X13,0)</f>
        <v>0</v>
      </c>
      <c r="W13" s="183">
        <f>SUMIF(E15:E237,"ReactEU ESF",W15:W237)</f>
        <v>4</v>
      </c>
      <c r="X13" s="183">
        <v>21467834.219999999</v>
      </c>
      <c r="Y13" s="184">
        <v>0.95458896219308498</v>
      </c>
      <c r="Z13" s="183">
        <f>SUMIF(E15:E237,"ReactEU ESF",Z15:Z237)</f>
        <v>21467834.219999999</v>
      </c>
      <c r="AA13" s="184">
        <f t="shared" si="8"/>
        <v>0.95458896219308498</v>
      </c>
      <c r="AB13" s="184">
        <f t="shared" si="9"/>
        <v>0</v>
      </c>
      <c r="AC13" s="184">
        <f t="shared" si="10"/>
        <v>0</v>
      </c>
      <c r="AD13" s="183">
        <f>SUMIF(E15:E237,"ReactEU ESF",AD15:AD237)</f>
        <v>4</v>
      </c>
      <c r="AE13" s="183">
        <v>21467834.219999999</v>
      </c>
      <c r="AF13" s="183">
        <v>0.95458896219308498</v>
      </c>
      <c r="AG13" s="183">
        <f>SUMIF(E15:E237,"ReactEU ESF",AG15:AG237)</f>
        <v>21128869.52</v>
      </c>
      <c r="AH13" s="184">
        <f t="shared" si="11"/>
        <v>0.93951655396237288</v>
      </c>
      <c r="AI13" s="184">
        <f t="shared" si="12"/>
        <v>0</v>
      </c>
      <c r="AJ13" s="184">
        <f t="shared" si="13"/>
        <v>0</v>
      </c>
      <c r="AK13" s="183">
        <v>21128869.52</v>
      </c>
      <c r="AL13" s="184">
        <v>0.93951655396237288</v>
      </c>
    </row>
    <row r="14" spans="1:38" ht="9" customHeight="1" x14ac:dyDescent="0.3">
      <c r="A14" s="102"/>
      <c r="B14" s="27"/>
      <c r="C14" s="101"/>
      <c r="D14" s="4"/>
      <c r="E14" s="8"/>
      <c r="F14" s="8"/>
      <c r="G14" s="8"/>
      <c r="H14" s="187"/>
      <c r="I14" s="187"/>
      <c r="J14" s="187"/>
      <c r="K14" s="187"/>
      <c r="L14" s="187"/>
      <c r="M14" s="188"/>
      <c r="N14" s="188"/>
      <c r="O14" s="188"/>
      <c r="P14" s="187"/>
      <c r="Q14" s="187"/>
      <c r="R14" s="188"/>
      <c r="S14" s="187"/>
      <c r="T14" s="188"/>
      <c r="U14" s="188"/>
      <c r="V14" s="188"/>
      <c r="W14" s="187"/>
      <c r="X14" s="187"/>
      <c r="Y14" s="188"/>
      <c r="Z14" s="187"/>
      <c r="AA14" s="188"/>
      <c r="AB14" s="188"/>
      <c r="AC14" s="188"/>
      <c r="AD14" s="187"/>
      <c r="AE14" s="187"/>
      <c r="AF14" s="188"/>
      <c r="AG14" s="187"/>
      <c r="AH14" s="188"/>
      <c r="AI14" s="188"/>
      <c r="AJ14" s="188"/>
      <c r="AK14" s="187"/>
      <c r="AL14" s="188"/>
    </row>
    <row r="15" spans="1:38" ht="22.5" customHeight="1" x14ac:dyDescent="0.3">
      <c r="A15" s="249" t="s">
        <v>0</v>
      </c>
      <c r="B15" s="250" t="str">
        <f>VLOOKUP(A15,saīsinājumi_LV_ENG!A:G,5,FALSE)</f>
        <v>P&amp;A&amp;I</v>
      </c>
      <c r="C15" s="10" t="s">
        <v>1</v>
      </c>
      <c r="D15" s="227"/>
      <c r="E15" s="227"/>
      <c r="F15" s="227"/>
      <c r="G15" s="227"/>
      <c r="H15" s="228">
        <f>H16+H23</f>
        <v>448221139</v>
      </c>
      <c r="I15" s="228">
        <f>I16+I23</f>
        <v>2927032</v>
      </c>
      <c r="J15" s="228">
        <f>J16+J23</f>
        <v>451148171</v>
      </c>
      <c r="K15" s="228">
        <f>K16+K23</f>
        <v>13053849.871961923</v>
      </c>
      <c r="L15" s="228">
        <f>L16+L23</f>
        <v>419952678.00999999</v>
      </c>
      <c r="M15" s="229">
        <f t="shared" ref="M15:M80" si="14">L15/$H15</f>
        <v>0.93693188801164506</v>
      </c>
      <c r="N15" s="229">
        <f t="shared" ref="N15:N81" si="15">M15-R15</f>
        <v>0</v>
      </c>
      <c r="O15" s="229">
        <f>IFERROR(((L15-Q15)/Q15),0)</f>
        <v>0</v>
      </c>
      <c r="P15" s="228">
        <f>P16+P23</f>
        <v>330</v>
      </c>
      <c r="Q15" s="177">
        <v>419952678.00999999</v>
      </c>
      <c r="R15" s="178">
        <v>0.93693188801164506</v>
      </c>
      <c r="S15" s="228">
        <f>S16+S23</f>
        <v>419952678.00999999</v>
      </c>
      <c r="T15" s="229">
        <f t="shared" ref="T15:T80" si="16">S15/$H15</f>
        <v>0.93693188801164506</v>
      </c>
      <c r="U15" s="229">
        <f t="shared" ref="U15:U81" si="17">T15-Y15</f>
        <v>0</v>
      </c>
      <c r="V15" s="229">
        <f t="shared" si="2"/>
        <v>0</v>
      </c>
      <c r="W15" s="228">
        <f>W16+W23</f>
        <v>330</v>
      </c>
      <c r="X15" s="228">
        <v>419952678.00999999</v>
      </c>
      <c r="Y15" s="229">
        <v>0.93693188801164506</v>
      </c>
      <c r="Z15" s="228">
        <f>Z16+Z23</f>
        <v>419952678.00999999</v>
      </c>
      <c r="AA15" s="229">
        <f t="shared" ref="AA15:AA80" si="18">Z15/$H15</f>
        <v>0.93693188801164506</v>
      </c>
      <c r="AB15" s="229">
        <f t="shared" ref="AB15:AB81" si="19">AA15-AF15</f>
        <v>0</v>
      </c>
      <c r="AC15" s="229">
        <f t="shared" si="1"/>
        <v>0</v>
      </c>
      <c r="AD15" s="228">
        <f>AD16+AD23</f>
        <v>330</v>
      </c>
      <c r="AE15" s="177">
        <v>419952678.00999999</v>
      </c>
      <c r="AF15" s="178">
        <v>0.93693188801164506</v>
      </c>
      <c r="AG15" s="228">
        <f>AG16+AG23</f>
        <v>407907128.38</v>
      </c>
      <c r="AH15" s="229">
        <f t="shared" ref="AH15:AH80" si="20">AG15/$H15</f>
        <v>0.91005776588328202</v>
      </c>
      <c r="AI15" s="229">
        <f t="shared" ref="AI15:AI81" si="21">AH15-AL15</f>
        <v>-3.3465623762163332E-6</v>
      </c>
      <c r="AJ15" s="229">
        <f t="shared" si="3"/>
        <v>-3.6772941184333768E-6</v>
      </c>
      <c r="AK15" s="228">
        <v>407908628.38</v>
      </c>
      <c r="AL15" s="229">
        <v>0.91006111244565824</v>
      </c>
    </row>
    <row r="16" spans="1:38" ht="39.75" customHeight="1" x14ac:dyDescent="0.3">
      <c r="A16" s="251" t="s">
        <v>4</v>
      </c>
      <c r="B16" s="252" t="str">
        <f>VLOOKUP(A16,saīsinājumi_LV_ENG!A:G,5,FALSE)</f>
        <v>Uzlabot P&amp;I infrastruktūru un attīstīt izcilību</v>
      </c>
      <c r="C16" s="217" t="s">
        <v>5</v>
      </c>
      <c r="D16" s="217" t="str">
        <f ca="1">IFERROR(IF((VLOOKUP(A16,Pasākumu_līmenis!A:H,3,0))=0,"",VLOOKUP(A16,Pasākumu_līmenis!A:H,3,0)),"")</f>
        <v/>
      </c>
      <c r="E16" s="218"/>
      <c r="F16" s="219"/>
      <c r="G16" s="219"/>
      <c r="H16" s="220">
        <f>H17</f>
        <v>284965533</v>
      </c>
      <c r="I16" s="220">
        <f>I17</f>
        <v>2927032</v>
      </c>
      <c r="J16" s="220">
        <f>J17</f>
        <v>287892565</v>
      </c>
      <c r="K16" s="220">
        <f>K17</f>
        <v>0</v>
      </c>
      <c r="L16" s="220">
        <f>L17</f>
        <v>275263565.81</v>
      </c>
      <c r="M16" s="221">
        <f>L16/$H16</f>
        <v>0.96595389243091379</v>
      </c>
      <c r="N16" s="221">
        <f t="shared" si="15"/>
        <v>0</v>
      </c>
      <c r="O16" s="221">
        <f t="shared" ref="O16:O83" si="22">IFERROR(((L16-Q16)/Q16),0)</f>
        <v>0</v>
      </c>
      <c r="P16" s="220">
        <f>P17</f>
        <v>260</v>
      </c>
      <c r="Q16" s="220">
        <v>275263565.81</v>
      </c>
      <c r="R16" s="221">
        <v>0.96595389243091379</v>
      </c>
      <c r="S16" s="220">
        <f>S17</f>
        <v>275263565.81</v>
      </c>
      <c r="T16" s="221">
        <f t="shared" si="16"/>
        <v>0.96595389243091379</v>
      </c>
      <c r="U16" s="221">
        <f t="shared" si="17"/>
        <v>0</v>
      </c>
      <c r="V16" s="221">
        <f t="shared" ref="V16:V83" si="23">IFERROR(((S16-X16)/X16),0)</f>
        <v>0</v>
      </c>
      <c r="W16" s="220">
        <f>W17</f>
        <v>260</v>
      </c>
      <c r="X16" s="220">
        <v>275263565.81</v>
      </c>
      <c r="Y16" s="221">
        <v>0.96595389243091379</v>
      </c>
      <c r="Z16" s="220">
        <f>Z17</f>
        <v>275263565.81</v>
      </c>
      <c r="AA16" s="221">
        <f t="shared" si="18"/>
        <v>0.96595389243091379</v>
      </c>
      <c r="AB16" s="221">
        <f t="shared" si="19"/>
        <v>0</v>
      </c>
      <c r="AC16" s="221">
        <f t="shared" si="1"/>
        <v>0</v>
      </c>
      <c r="AD16" s="220">
        <f>AD17</f>
        <v>260</v>
      </c>
      <c r="AE16" s="220">
        <v>275263565.81</v>
      </c>
      <c r="AF16" s="221">
        <v>0.96595389243091379</v>
      </c>
      <c r="AG16" s="220">
        <f>AG17</f>
        <v>271919675.92000002</v>
      </c>
      <c r="AH16" s="221">
        <f t="shared" si="20"/>
        <v>0.95421952633127749</v>
      </c>
      <c r="AI16" s="221">
        <f t="shared" si="21"/>
        <v>0</v>
      </c>
      <c r="AJ16" s="221">
        <f t="shared" si="3"/>
        <v>0</v>
      </c>
      <c r="AK16" s="220">
        <v>271919675.92000002</v>
      </c>
      <c r="AL16" s="221">
        <v>0.95421952633127749</v>
      </c>
    </row>
    <row r="17" spans="1:38" ht="39.75" customHeight="1" x14ac:dyDescent="0.3">
      <c r="A17" s="253" t="s">
        <v>428</v>
      </c>
      <c r="B17" s="254" t="str">
        <f>VLOOKUP(A17,saīsinājumi_LV_ENG!A:G,5,FALSE)</f>
        <v>Zinātnisko institūciju P&amp;I kapacitāte</v>
      </c>
      <c r="C17" s="222" t="s">
        <v>6</v>
      </c>
      <c r="D17" s="222" t="str">
        <f ca="1">IFERROR(IF((VLOOKUP(A17,Pasākumu_līmenis!A:H,3,0))=0,"",VLOOKUP(A17,Pasākumu_līmenis!A:H,3,0)),"")</f>
        <v/>
      </c>
      <c r="E17" s="223"/>
      <c r="F17" s="224"/>
      <c r="G17" s="224"/>
      <c r="H17" s="225">
        <f>SUM(H18:H22)</f>
        <v>284965533</v>
      </c>
      <c r="I17" s="225">
        <f>SUM(I18:I22)</f>
        <v>2927032</v>
      </c>
      <c r="J17" s="225">
        <f>SUM(J18:J22)</f>
        <v>287892565</v>
      </c>
      <c r="K17" s="225">
        <f>SUM(K18:K22)</f>
        <v>0</v>
      </c>
      <c r="L17" s="225">
        <f>SUM(L18:L22)</f>
        <v>275263565.81</v>
      </c>
      <c r="M17" s="226">
        <f t="shared" si="14"/>
        <v>0.96595389243091379</v>
      </c>
      <c r="N17" s="226">
        <f t="shared" si="15"/>
        <v>0</v>
      </c>
      <c r="O17" s="226">
        <f t="shared" si="22"/>
        <v>0</v>
      </c>
      <c r="P17" s="225">
        <f>SUM(P18:P22)</f>
        <v>260</v>
      </c>
      <c r="Q17" s="225">
        <v>275263565.81</v>
      </c>
      <c r="R17" s="226">
        <v>0.96595389243091379</v>
      </c>
      <c r="S17" s="225">
        <f>SUM(S18:S22)</f>
        <v>275263565.81</v>
      </c>
      <c r="T17" s="226">
        <f t="shared" si="16"/>
        <v>0.96595389243091379</v>
      </c>
      <c r="U17" s="226">
        <f t="shared" si="17"/>
        <v>0</v>
      </c>
      <c r="V17" s="226">
        <f t="shared" si="23"/>
        <v>0</v>
      </c>
      <c r="W17" s="225">
        <f>SUM(W18:W22)</f>
        <v>260</v>
      </c>
      <c r="X17" s="225">
        <v>275263565.81</v>
      </c>
      <c r="Y17" s="226">
        <v>0.96595389243091379</v>
      </c>
      <c r="Z17" s="225">
        <f>SUM(Z18:Z22)</f>
        <v>275263565.81</v>
      </c>
      <c r="AA17" s="226">
        <f t="shared" si="18"/>
        <v>0.96595389243091379</v>
      </c>
      <c r="AB17" s="226">
        <f t="shared" si="19"/>
        <v>0</v>
      </c>
      <c r="AC17" s="226">
        <f t="shared" si="1"/>
        <v>0</v>
      </c>
      <c r="AD17" s="225">
        <f>SUM(AD18:AD22)</f>
        <v>260</v>
      </c>
      <c r="AE17" s="225">
        <v>275263565.81</v>
      </c>
      <c r="AF17" s="226">
        <v>0.96595389243091379</v>
      </c>
      <c r="AG17" s="225">
        <f>SUM(AG18:AG22)</f>
        <v>271919675.92000002</v>
      </c>
      <c r="AH17" s="226">
        <f t="shared" si="20"/>
        <v>0.95421952633127749</v>
      </c>
      <c r="AI17" s="226">
        <f t="shared" si="21"/>
        <v>0</v>
      </c>
      <c r="AJ17" s="226">
        <f t="shared" si="3"/>
        <v>0</v>
      </c>
      <c r="AK17" s="225">
        <v>271919675.92000002</v>
      </c>
      <c r="AL17" s="226">
        <v>0.95421952633127749</v>
      </c>
    </row>
    <row r="18" spans="1:38" ht="21" customHeight="1" x14ac:dyDescent="0.3">
      <c r="A18" s="255" t="s">
        <v>239</v>
      </c>
      <c r="B18" s="256" t="str">
        <f>VLOOKUP(A18,saīsinājumi_LV_ENG!A:G,5,FALSE)</f>
        <v>Praktiskas ievirzes pētījumi</v>
      </c>
      <c r="C18" s="12" t="s">
        <v>161</v>
      </c>
      <c r="D18" s="12"/>
      <c r="E18" s="44" t="str">
        <f>Pasākumu_līmenis!D15</f>
        <v>ERAF</v>
      </c>
      <c r="F18" s="44" t="str">
        <f>Pasākumu_līmenis!E15</f>
        <v>IZM</v>
      </c>
      <c r="G18" s="276" t="str">
        <f>VLOOKUP(A18,'2. Intervences kategorijas - Pa'!B:D,2,FALSE)</f>
        <v>01 - Nostiprināt pētniecību, tehnoloģiju attīstību un inovāciju</v>
      </c>
      <c r="H18" s="173">
        <f>Pasākumu_līmenis!F15</f>
        <v>87328430</v>
      </c>
      <c r="I18" s="173">
        <f>Pasākumu_līmenis!G15</f>
        <v>2524642</v>
      </c>
      <c r="J18" s="173">
        <f>Pasākumu_līmenis!H15</f>
        <v>89853072</v>
      </c>
      <c r="K18" s="173">
        <f>Pasākumu_līmenis!I15</f>
        <v>0</v>
      </c>
      <c r="L18" s="173">
        <f>Pasākumu_līmenis!J15</f>
        <v>86531693.079999998</v>
      </c>
      <c r="M18" s="174">
        <f t="shared" si="14"/>
        <v>0.99087654593126195</v>
      </c>
      <c r="N18" s="174">
        <f>M18-R18</f>
        <v>0</v>
      </c>
      <c r="O18" s="172">
        <f t="shared" si="22"/>
        <v>0</v>
      </c>
      <c r="P18" s="173">
        <f>Pasākumu_līmenis!N15</f>
        <v>201</v>
      </c>
      <c r="Q18" s="173">
        <v>86531693.079999998</v>
      </c>
      <c r="R18" s="174">
        <v>0.99087654593126195</v>
      </c>
      <c r="S18" s="173">
        <f>Pasākumu_līmenis!Q15</f>
        <v>86531693.079999998</v>
      </c>
      <c r="T18" s="174">
        <f t="shared" si="16"/>
        <v>0.99087654593126195</v>
      </c>
      <c r="U18" s="174">
        <f t="shared" si="17"/>
        <v>0</v>
      </c>
      <c r="V18" s="174">
        <f t="shared" si="23"/>
        <v>0</v>
      </c>
      <c r="W18" s="173">
        <f>Pasākumu_līmenis!U15</f>
        <v>201</v>
      </c>
      <c r="X18" s="173">
        <v>86531693.079999998</v>
      </c>
      <c r="Y18" s="174">
        <v>0.99087654593126195</v>
      </c>
      <c r="Z18" s="173">
        <f>Pasākumu_līmenis!X15</f>
        <v>86531693.079999998</v>
      </c>
      <c r="AA18" s="174">
        <f t="shared" si="18"/>
        <v>0.99087654593126195</v>
      </c>
      <c r="AB18" s="174">
        <f t="shared" si="19"/>
        <v>0</v>
      </c>
      <c r="AC18" s="174">
        <f t="shared" si="1"/>
        <v>0</v>
      </c>
      <c r="AD18" s="173">
        <f>Pasākumu_līmenis!AB15</f>
        <v>201</v>
      </c>
      <c r="AE18" s="173">
        <v>86531693.079999998</v>
      </c>
      <c r="AF18" s="174">
        <v>0.99087654593126195</v>
      </c>
      <c r="AG18" s="173">
        <f>Pasākumu_līmenis!AE15</f>
        <v>85668926.370000005</v>
      </c>
      <c r="AH18" s="174">
        <f t="shared" si="20"/>
        <v>0.98099698311305961</v>
      </c>
      <c r="AI18" s="174">
        <f t="shared" si="21"/>
        <v>0</v>
      </c>
      <c r="AJ18" s="174">
        <f t="shared" si="3"/>
        <v>0</v>
      </c>
      <c r="AK18" s="173">
        <v>85668926.370000005</v>
      </c>
      <c r="AL18" s="174">
        <v>0.98099698311305961</v>
      </c>
    </row>
    <row r="19" spans="1:38" ht="21" customHeight="1" x14ac:dyDescent="0.3">
      <c r="A19" s="255" t="s">
        <v>240</v>
      </c>
      <c r="B19" s="256" t="str">
        <f>VLOOKUP(A19,saīsinājumi_LV_ENG!A:G,5,FALSE)</f>
        <v>Pēcdoktorantūras pētniecība</v>
      </c>
      <c r="C19" s="12" t="s">
        <v>162</v>
      </c>
      <c r="D19" s="12"/>
      <c r="E19" s="44" t="str">
        <f>Pasākumu_līmenis!D16</f>
        <v>ERAF</v>
      </c>
      <c r="F19" s="44" t="str">
        <f>Pasākumu_līmenis!E16</f>
        <v>IZM</v>
      </c>
      <c r="G19" s="276" t="str">
        <f>VLOOKUP(A19,'2. Intervences kategorijas - Pa'!B:D,2,FALSE)</f>
        <v>01 - Nostiprināt pētniecību, tehnoloģiju attīstību un inovāciju</v>
      </c>
      <c r="H19" s="173">
        <f>Pasākumu_līmenis!F16</f>
        <v>39898294</v>
      </c>
      <c r="I19" s="173">
        <f>Pasākumu_līmenis!G16</f>
        <v>0</v>
      </c>
      <c r="J19" s="173">
        <f>Pasākumu_līmenis!H16</f>
        <v>39898294</v>
      </c>
      <c r="K19" s="173">
        <f>Pasākumu_līmenis!I16</f>
        <v>0</v>
      </c>
      <c r="L19" s="173">
        <f>Pasākumu_līmenis!J16</f>
        <v>38000134.719999999</v>
      </c>
      <c r="M19" s="174">
        <f t="shared" si="14"/>
        <v>0.95242505155734225</v>
      </c>
      <c r="N19" s="174">
        <f t="shared" si="15"/>
        <v>0</v>
      </c>
      <c r="O19" s="172">
        <f t="shared" si="22"/>
        <v>0</v>
      </c>
      <c r="P19" s="173">
        <f>Pasākumu_līmenis!N16</f>
        <v>1</v>
      </c>
      <c r="Q19" s="173">
        <v>38000134.719999999</v>
      </c>
      <c r="R19" s="174">
        <v>0.95242505155734225</v>
      </c>
      <c r="S19" s="173">
        <f>Pasākumu_līmenis!Q16</f>
        <v>38000134.719999999</v>
      </c>
      <c r="T19" s="174">
        <f t="shared" si="16"/>
        <v>0.95242505155734225</v>
      </c>
      <c r="U19" s="174">
        <f>T19-Y19</f>
        <v>0</v>
      </c>
      <c r="V19" s="174">
        <f t="shared" si="23"/>
        <v>0</v>
      </c>
      <c r="W19" s="173">
        <f>Pasākumu_līmenis!U16</f>
        <v>1</v>
      </c>
      <c r="X19" s="173">
        <v>38000134.719999999</v>
      </c>
      <c r="Y19" s="174">
        <v>0.95242505155734225</v>
      </c>
      <c r="Z19" s="173">
        <f>Pasākumu_līmenis!X16</f>
        <v>38000134.719999999</v>
      </c>
      <c r="AA19" s="174">
        <f t="shared" si="18"/>
        <v>0.95242505155734225</v>
      </c>
      <c r="AB19" s="174">
        <f t="shared" si="19"/>
        <v>0</v>
      </c>
      <c r="AC19" s="174">
        <f t="shared" si="1"/>
        <v>0</v>
      </c>
      <c r="AD19" s="173">
        <f>Pasākumu_līmenis!AB16</f>
        <v>1</v>
      </c>
      <c r="AE19" s="173">
        <v>38000134.719999999</v>
      </c>
      <c r="AF19" s="174">
        <v>0.95242505155734225</v>
      </c>
      <c r="AG19" s="173">
        <f>Pasākumu_līmenis!AE16</f>
        <v>38000134.719999999</v>
      </c>
      <c r="AH19" s="174">
        <f t="shared" si="20"/>
        <v>0.95242505155734225</v>
      </c>
      <c r="AI19" s="174">
        <f t="shared" si="21"/>
        <v>0</v>
      </c>
      <c r="AJ19" s="174">
        <f t="shared" si="3"/>
        <v>0</v>
      </c>
      <c r="AK19" s="173">
        <v>38000134.719999999</v>
      </c>
      <c r="AL19" s="174">
        <v>0.95242505155734225</v>
      </c>
    </row>
    <row r="20" spans="1:38" ht="21" customHeight="1" x14ac:dyDescent="0.3">
      <c r="A20" s="255" t="s">
        <v>241</v>
      </c>
      <c r="B20" s="256" t="str">
        <f>VLOOKUP(A20,saīsinājumi_LV_ENG!A:G,5,FALSE)</f>
        <v>Inovāciju granti studentiem</v>
      </c>
      <c r="C20" s="12" t="s">
        <v>163</v>
      </c>
      <c r="D20" s="12"/>
      <c r="E20" s="44" t="str">
        <f>Pasākumu_līmenis!D17</f>
        <v>ERAF</v>
      </c>
      <c r="F20" s="44" t="str">
        <f>Pasākumu_līmenis!E17</f>
        <v>IZM</v>
      </c>
      <c r="G20" s="276" t="str">
        <f>VLOOKUP(A20,'2. Intervences kategorijas - Pa'!B:D,2,FALSE)</f>
        <v>01 - Nostiprināt pētniecību, tehnoloģiju attīstību un inovāciju</v>
      </c>
      <c r="H20" s="173">
        <f>Pasākumu_līmenis!F17</f>
        <v>15370399</v>
      </c>
      <c r="I20" s="173">
        <f>Pasākumu_līmenis!G17</f>
        <v>0</v>
      </c>
      <c r="J20" s="173">
        <f>Pasākumu_līmenis!H17</f>
        <v>15370399</v>
      </c>
      <c r="K20" s="173">
        <f>Pasākumu_līmenis!I17</f>
        <v>0</v>
      </c>
      <c r="L20" s="173">
        <f>Pasākumu_līmenis!J17</f>
        <v>11654365.91</v>
      </c>
      <c r="M20" s="174">
        <f>L20/$H20</f>
        <v>0.75823444205970192</v>
      </c>
      <c r="N20" s="174">
        <f>M20-R20</f>
        <v>0</v>
      </c>
      <c r="O20" s="174">
        <f>IFERROR(((L20-Q20)/Q20),0)</f>
        <v>0</v>
      </c>
      <c r="P20" s="173">
        <f>Pasākumu_līmenis!N17</f>
        <v>11</v>
      </c>
      <c r="Q20" s="173">
        <v>11654365.91</v>
      </c>
      <c r="R20" s="174">
        <v>0.75823444205970192</v>
      </c>
      <c r="S20" s="173">
        <f>Pasākumu_līmenis!Q17</f>
        <v>11654365.91</v>
      </c>
      <c r="T20" s="174">
        <f t="shared" si="16"/>
        <v>0.75823444205970192</v>
      </c>
      <c r="U20" s="174">
        <f t="shared" si="17"/>
        <v>0</v>
      </c>
      <c r="V20" s="174">
        <f t="shared" si="23"/>
        <v>0</v>
      </c>
      <c r="W20" s="173">
        <f>Pasākumu_līmenis!U17</f>
        <v>11</v>
      </c>
      <c r="X20" s="173">
        <v>11654365.91</v>
      </c>
      <c r="Y20" s="174">
        <v>0.75823444205970192</v>
      </c>
      <c r="Z20" s="173">
        <f>Pasākumu_līmenis!X17</f>
        <v>11654365.91</v>
      </c>
      <c r="AA20" s="174">
        <f t="shared" si="18"/>
        <v>0.75823444205970192</v>
      </c>
      <c r="AB20" s="174">
        <f t="shared" si="19"/>
        <v>0</v>
      </c>
      <c r="AC20" s="174">
        <f t="shared" si="1"/>
        <v>0</v>
      </c>
      <c r="AD20" s="173">
        <f>Pasākumu_līmenis!AB17</f>
        <v>11</v>
      </c>
      <c r="AE20" s="173">
        <v>11654365.91</v>
      </c>
      <c r="AF20" s="174">
        <v>0.75823444205970192</v>
      </c>
      <c r="AG20" s="173">
        <f>Pasākumu_līmenis!AE17</f>
        <v>10860993.67</v>
      </c>
      <c r="AH20" s="174">
        <f t="shared" si="20"/>
        <v>0.70661754909550489</v>
      </c>
      <c r="AI20" s="174">
        <f t="shared" si="21"/>
        <v>0</v>
      </c>
      <c r="AJ20" s="174">
        <f t="shared" si="3"/>
        <v>0</v>
      </c>
      <c r="AK20" s="173">
        <v>10860993.67</v>
      </c>
      <c r="AL20" s="174">
        <v>0.70661754909550489</v>
      </c>
    </row>
    <row r="21" spans="1:38" ht="21" customHeight="1" x14ac:dyDescent="0.3">
      <c r="A21" s="255" t="s">
        <v>242</v>
      </c>
      <c r="B21" s="256" t="str">
        <f>VLOOKUP(A21,saīsinājumi_LV_ENG!A:G,5,FALSE)</f>
        <v>P&amp;A infrastruktūra</v>
      </c>
      <c r="C21" s="12" t="s">
        <v>164</v>
      </c>
      <c r="D21" s="12"/>
      <c r="E21" s="44" t="str">
        <f>Pasākumu_līmenis!D18</f>
        <v>ERAF</v>
      </c>
      <c r="F21" s="44" t="str">
        <f>Pasākumu_līmenis!E18</f>
        <v>IZM</v>
      </c>
      <c r="G21" s="276" t="str">
        <f>VLOOKUP(A21,'2. Intervences kategorijas - Pa'!B:D,2,FALSE)</f>
        <v>01 - Nostiprināt pētniecību, tehnoloģiju attīstību un inovāciju</v>
      </c>
      <c r="H21" s="173">
        <f>Pasākumu_līmenis!F18</f>
        <v>111692482</v>
      </c>
      <c r="I21" s="173">
        <f>Pasākumu_līmenis!G18</f>
        <v>0</v>
      </c>
      <c r="J21" s="173">
        <f>Pasākumu_līmenis!H18</f>
        <v>111692482</v>
      </c>
      <c r="K21" s="173">
        <f>Pasākumu_līmenis!I18</f>
        <v>0</v>
      </c>
      <c r="L21" s="173">
        <f>Pasākumu_līmenis!J18</f>
        <v>111452668.62</v>
      </c>
      <c r="M21" s="174">
        <f t="shared" si="14"/>
        <v>0.99785291386039754</v>
      </c>
      <c r="N21" s="174">
        <f t="shared" si="15"/>
        <v>0</v>
      </c>
      <c r="O21" s="174">
        <f t="shared" si="22"/>
        <v>0</v>
      </c>
      <c r="P21" s="173">
        <f>Pasākumu_līmenis!N18</f>
        <v>14</v>
      </c>
      <c r="Q21" s="173">
        <v>111452668.62</v>
      </c>
      <c r="R21" s="174">
        <v>0.99785291386039754</v>
      </c>
      <c r="S21" s="173">
        <f>Pasākumu_līmenis!Q18</f>
        <v>111452668.62</v>
      </c>
      <c r="T21" s="174">
        <f t="shared" si="16"/>
        <v>0.99785291386039754</v>
      </c>
      <c r="U21" s="174">
        <f t="shared" si="17"/>
        <v>0</v>
      </c>
      <c r="V21" s="174">
        <f t="shared" si="23"/>
        <v>0</v>
      </c>
      <c r="W21" s="173">
        <f>Pasākumu_līmenis!U18</f>
        <v>14</v>
      </c>
      <c r="X21" s="173">
        <v>111452668.62</v>
      </c>
      <c r="Y21" s="174">
        <v>0.99785291386039754</v>
      </c>
      <c r="Z21" s="173">
        <f>Pasākumu_līmenis!X18</f>
        <v>111452668.62</v>
      </c>
      <c r="AA21" s="174">
        <f t="shared" si="18"/>
        <v>0.99785291386039754</v>
      </c>
      <c r="AB21" s="174">
        <f t="shared" si="19"/>
        <v>0</v>
      </c>
      <c r="AC21" s="174">
        <f t="shared" si="1"/>
        <v>0</v>
      </c>
      <c r="AD21" s="173">
        <f>Pasākumu_līmenis!AB18</f>
        <v>14</v>
      </c>
      <c r="AE21" s="173">
        <v>111452668.62</v>
      </c>
      <c r="AF21" s="174">
        <v>0.99785291386039754</v>
      </c>
      <c r="AG21" s="173">
        <f>Pasākumu_līmenis!AE18</f>
        <v>109826066.93000001</v>
      </c>
      <c r="AH21" s="174">
        <f t="shared" si="20"/>
        <v>0.98328969831649016</v>
      </c>
      <c r="AI21" s="174">
        <f t="shared" si="21"/>
        <v>0</v>
      </c>
      <c r="AJ21" s="174">
        <f t="shared" si="3"/>
        <v>0</v>
      </c>
      <c r="AK21" s="173">
        <v>109826066.93000001</v>
      </c>
      <c r="AL21" s="174">
        <v>0.98328969831649016</v>
      </c>
    </row>
    <row r="22" spans="1:38" ht="21" customHeight="1" x14ac:dyDescent="0.3">
      <c r="A22" s="255" t="s">
        <v>243</v>
      </c>
      <c r="B22" s="256" t="str">
        <f>VLOOKUP(A22,saīsinājumi_LV_ENG!A:G,5,FALSE)</f>
        <v>Starptautiskā sadarbība P&amp;I</v>
      </c>
      <c r="C22" s="12" t="s">
        <v>165</v>
      </c>
      <c r="D22" s="12"/>
      <c r="E22" s="44" t="str">
        <f>Pasākumu_līmenis!D19</f>
        <v>ERAF</v>
      </c>
      <c r="F22" s="44" t="str">
        <f>Pasākumu_līmenis!E19</f>
        <v>IZM</v>
      </c>
      <c r="G22" s="276" t="str">
        <f>VLOOKUP(A22,'2. Intervences kategorijas - Pa'!B:D,2,FALSE)</f>
        <v>01 - Nostiprināt pētniecību, tehnoloģiju attīstību un inovāciju</v>
      </c>
      <c r="H22" s="173">
        <f>Pasākumu_līmenis!F19</f>
        <v>30675928</v>
      </c>
      <c r="I22" s="173">
        <f>Pasākumu_līmenis!G19</f>
        <v>402390</v>
      </c>
      <c r="J22" s="173">
        <f>Pasākumu_līmenis!H19</f>
        <v>31078318</v>
      </c>
      <c r="K22" s="173">
        <f>Pasākumu_līmenis!I19</f>
        <v>0</v>
      </c>
      <c r="L22" s="173">
        <f>Pasākumu_līmenis!J19</f>
        <v>27624703.48</v>
      </c>
      <c r="M22" s="174">
        <f t="shared" si="14"/>
        <v>0.90053358711756004</v>
      </c>
      <c r="N22" s="174">
        <f t="shared" si="15"/>
        <v>0</v>
      </c>
      <c r="O22" s="174">
        <f t="shared" si="22"/>
        <v>0</v>
      </c>
      <c r="P22" s="173">
        <f>Pasākumu_līmenis!N19</f>
        <v>33</v>
      </c>
      <c r="Q22" s="173">
        <v>27624703.48</v>
      </c>
      <c r="R22" s="174">
        <v>0.90053358711756004</v>
      </c>
      <c r="S22" s="173">
        <f>Pasākumu_līmenis!Q19</f>
        <v>27624703.48</v>
      </c>
      <c r="T22" s="174">
        <f t="shared" si="16"/>
        <v>0.90053358711756004</v>
      </c>
      <c r="U22" s="174">
        <f t="shared" si="17"/>
        <v>0</v>
      </c>
      <c r="V22" s="174">
        <f t="shared" si="23"/>
        <v>0</v>
      </c>
      <c r="W22" s="173">
        <f>Pasākumu_līmenis!U19</f>
        <v>33</v>
      </c>
      <c r="X22" s="173">
        <v>27624703.48</v>
      </c>
      <c r="Y22" s="174">
        <v>0.90053358711756004</v>
      </c>
      <c r="Z22" s="173">
        <f>Pasākumu_līmenis!X19</f>
        <v>27624703.48</v>
      </c>
      <c r="AA22" s="174">
        <f t="shared" si="18"/>
        <v>0.90053358711756004</v>
      </c>
      <c r="AB22" s="174">
        <f t="shared" si="19"/>
        <v>0</v>
      </c>
      <c r="AC22" s="174">
        <f t="shared" si="1"/>
        <v>0</v>
      </c>
      <c r="AD22" s="173">
        <f>Pasākumu_līmenis!AB19</f>
        <v>33</v>
      </c>
      <c r="AE22" s="173">
        <v>27624703.48</v>
      </c>
      <c r="AF22" s="174">
        <v>0.90053358711756004</v>
      </c>
      <c r="AG22" s="173">
        <f>Pasākumu_līmenis!AE19</f>
        <v>27563554.23</v>
      </c>
      <c r="AH22" s="174">
        <f t="shared" si="20"/>
        <v>0.89854019184032508</v>
      </c>
      <c r="AI22" s="174">
        <f t="shared" si="21"/>
        <v>0</v>
      </c>
      <c r="AJ22" s="174">
        <f t="shared" si="3"/>
        <v>0</v>
      </c>
      <c r="AK22" s="173">
        <v>27563554.23</v>
      </c>
      <c r="AL22" s="174">
        <v>0.89854019184032508</v>
      </c>
    </row>
    <row r="23" spans="1:38" ht="59.25" customHeight="1" x14ac:dyDescent="0.3">
      <c r="A23" s="251" t="s">
        <v>7</v>
      </c>
      <c r="B23" s="252" t="str">
        <f>VLOOKUP(A23,saīsinājumi_LV_ENG!A:G,5,FALSE)</f>
        <v>Uzņēmumu P&amp;I un sadarbība ar pētniecības un augstākās izglītības nozarēm.</v>
      </c>
      <c r="C23" s="231" t="s">
        <v>377</v>
      </c>
      <c r="D23" s="217" t="str">
        <f ca="1">IFERROR(IF((VLOOKUP(A23,Pasākumu_līmenis!A:H,3,0))=0,"",VLOOKUP(A23,Pasākumu_līmenis!A:H,3,0)),"")</f>
        <v/>
      </c>
      <c r="E23" s="219"/>
      <c r="F23" s="219"/>
      <c r="G23" s="277"/>
      <c r="H23" s="220">
        <f>H24+H28</f>
        <v>163255606</v>
      </c>
      <c r="I23" s="220">
        <f>I24+I28</f>
        <v>0</v>
      </c>
      <c r="J23" s="220">
        <f>J24+J28</f>
        <v>163255606</v>
      </c>
      <c r="K23" s="220">
        <f>K24+K28</f>
        <v>13053849.871961923</v>
      </c>
      <c r="L23" s="220">
        <f>L24+L28</f>
        <v>144689112.19999999</v>
      </c>
      <c r="M23" s="221">
        <f t="shared" si="14"/>
        <v>0.88627346861215894</v>
      </c>
      <c r="N23" s="221">
        <f t="shared" si="15"/>
        <v>0</v>
      </c>
      <c r="O23" s="221">
        <f t="shared" si="22"/>
        <v>0</v>
      </c>
      <c r="P23" s="220">
        <f>P24+P28</f>
        <v>70</v>
      </c>
      <c r="Q23" s="220">
        <v>144689112.19999999</v>
      </c>
      <c r="R23" s="221">
        <v>0.88627346861215894</v>
      </c>
      <c r="S23" s="220">
        <f>S24+S28</f>
        <v>144689112.19999999</v>
      </c>
      <c r="T23" s="221">
        <f t="shared" si="16"/>
        <v>0.88627346861215894</v>
      </c>
      <c r="U23" s="221">
        <f t="shared" si="17"/>
        <v>0</v>
      </c>
      <c r="V23" s="221">
        <f>IFERROR(((S23-X23)/X23),0)</f>
        <v>0</v>
      </c>
      <c r="W23" s="220">
        <f>W24+W28</f>
        <v>70</v>
      </c>
      <c r="X23" s="220">
        <v>144689112.19999999</v>
      </c>
      <c r="Y23" s="221">
        <v>0.88627346861215894</v>
      </c>
      <c r="Z23" s="220">
        <f>Z24+Z28</f>
        <v>144689112.19999999</v>
      </c>
      <c r="AA23" s="221">
        <f t="shared" si="18"/>
        <v>0.88627346861215894</v>
      </c>
      <c r="AB23" s="221">
        <f t="shared" si="19"/>
        <v>0</v>
      </c>
      <c r="AC23" s="221">
        <f t="shared" si="1"/>
        <v>0</v>
      </c>
      <c r="AD23" s="220">
        <f>AD24+AD28</f>
        <v>70</v>
      </c>
      <c r="AE23" s="220">
        <v>144689112.19999999</v>
      </c>
      <c r="AF23" s="221">
        <v>0.88627346861215894</v>
      </c>
      <c r="AG23" s="220">
        <f>AG24+AG28</f>
        <v>135987452.46000001</v>
      </c>
      <c r="AH23" s="221">
        <f t="shared" si="20"/>
        <v>0.83297263592896165</v>
      </c>
      <c r="AI23" s="221">
        <f t="shared" si="21"/>
        <v>-9.1880458916726582E-6</v>
      </c>
      <c r="AJ23" s="221">
        <f t="shared" si="3"/>
        <v>-1.1030307777694016E-5</v>
      </c>
      <c r="AK23" s="220">
        <v>135988952.46000001</v>
      </c>
      <c r="AL23" s="221">
        <v>0.83298182397485332</v>
      </c>
    </row>
    <row r="24" spans="1:38" ht="21" customHeight="1" x14ac:dyDescent="0.3">
      <c r="A24" s="253" t="s">
        <v>429</v>
      </c>
      <c r="B24" s="254" t="str">
        <f>VLOOKUP(A24,saīsinājumi_LV_ENG!A:G,5,FALSE)</f>
        <v>Privātā sektora P&amp;A</v>
      </c>
      <c r="C24" s="222" t="s">
        <v>8</v>
      </c>
      <c r="D24" s="222" t="str">
        <f ca="1">IFERROR(IF((VLOOKUP(A24,Pasākumu_līmenis!A:H,3,0))=0,"",VLOOKUP(A24,Pasākumu_līmenis!A:H,3,0)),"")</f>
        <v/>
      </c>
      <c r="E24" s="224"/>
      <c r="F24" s="224"/>
      <c r="G24" s="278"/>
      <c r="H24" s="225">
        <f>SUM(H25:H27)</f>
        <v>139060328</v>
      </c>
      <c r="I24" s="225">
        <f>SUM(I25:I27)</f>
        <v>0</v>
      </c>
      <c r="J24" s="225">
        <f>SUM(J25:J27)</f>
        <v>139060328</v>
      </c>
      <c r="K24" s="225">
        <f>SUM(K25:K27)</f>
        <v>12761000</v>
      </c>
      <c r="L24" s="225">
        <f>SUM(L25:L27)</f>
        <v>124890083.38</v>
      </c>
      <c r="M24" s="226">
        <f t="shared" si="14"/>
        <v>0.89810002015815749</v>
      </c>
      <c r="N24" s="226">
        <f t="shared" si="15"/>
        <v>0</v>
      </c>
      <c r="O24" s="226">
        <f t="shared" si="22"/>
        <v>0</v>
      </c>
      <c r="P24" s="225">
        <f>SUM(P25:P27)</f>
        <v>51</v>
      </c>
      <c r="Q24" s="225">
        <v>124890083.38</v>
      </c>
      <c r="R24" s="226">
        <v>0.89810002015815749</v>
      </c>
      <c r="S24" s="225">
        <f>SUM(S25:S27)</f>
        <v>124890083.38</v>
      </c>
      <c r="T24" s="226">
        <f t="shared" si="16"/>
        <v>0.89810002015815749</v>
      </c>
      <c r="U24" s="226">
        <f t="shared" si="17"/>
        <v>0</v>
      </c>
      <c r="V24" s="226">
        <f t="shared" si="23"/>
        <v>0</v>
      </c>
      <c r="W24" s="225">
        <f>SUM(W25:W27)</f>
        <v>51</v>
      </c>
      <c r="X24" s="225">
        <v>124890083.38</v>
      </c>
      <c r="Y24" s="226">
        <v>0.89810002015815749</v>
      </c>
      <c r="Z24" s="225">
        <f>SUM(Z25:Z27)</f>
        <v>124890083.38</v>
      </c>
      <c r="AA24" s="226">
        <f t="shared" si="18"/>
        <v>0.89810002015815749</v>
      </c>
      <c r="AB24" s="226">
        <f t="shared" si="19"/>
        <v>0</v>
      </c>
      <c r="AC24" s="226">
        <f t="shared" si="1"/>
        <v>0</v>
      </c>
      <c r="AD24" s="225">
        <f>SUM(AD25:AD27)</f>
        <v>51</v>
      </c>
      <c r="AE24" s="225">
        <v>124890083.38</v>
      </c>
      <c r="AF24" s="226">
        <v>0.89810002015815749</v>
      </c>
      <c r="AG24" s="225">
        <f>SUM(AG25:AG27)</f>
        <v>117684915.28</v>
      </c>
      <c r="AH24" s="226">
        <f t="shared" si="20"/>
        <v>0.84628676612930187</v>
      </c>
      <c r="AI24" s="226">
        <f t="shared" si="21"/>
        <v>0</v>
      </c>
      <c r="AJ24" s="226">
        <f t="shared" si="3"/>
        <v>0</v>
      </c>
      <c r="AK24" s="225">
        <v>117684915.28</v>
      </c>
      <c r="AL24" s="226">
        <v>0.84628676612930187</v>
      </c>
    </row>
    <row r="25" spans="1:38" ht="21" customHeight="1" x14ac:dyDescent="0.3">
      <c r="A25" s="255" t="s">
        <v>244</v>
      </c>
      <c r="B25" s="256" t="str">
        <f>VLOOKUP(A25,saīsinājumi_LV_ENG!A:G,5,FALSE)</f>
        <v>Kompetences centri</v>
      </c>
      <c r="C25" s="12" t="s">
        <v>166</v>
      </c>
      <c r="D25" s="12" t="str">
        <f ca="1">IFERROR(IF((VLOOKUP(A25,Pasākumu_līmenis!A:H,3,0))=0,"",VLOOKUP(A25,Pasākumu_līmenis!A:H,3,0)),"")</f>
        <v/>
      </c>
      <c r="E25" s="40" t="str">
        <f>Pasākumu_līmenis!D20</f>
        <v>ERAF</v>
      </c>
      <c r="F25" s="40" t="str">
        <f>Pasākumu_līmenis!E20</f>
        <v>EM</v>
      </c>
      <c r="G25" s="279" t="str">
        <f>VLOOKUP(A25,'2. Intervences kategorijas - Pa'!B:D,2,FALSE)</f>
        <v>01 - Nostiprināt pētniecību, tehnoloģiju attīstību un inovāciju</v>
      </c>
      <c r="H25" s="171">
        <f>Pasākumu_līmenis!F20</f>
        <v>63150605</v>
      </c>
      <c r="I25" s="171">
        <f>Pasākumu_līmenis!G20</f>
        <v>0</v>
      </c>
      <c r="J25" s="171">
        <f>Pasākumu_līmenis!H20</f>
        <v>63150605</v>
      </c>
      <c r="K25" s="171">
        <f>Pasākumu_līmenis!I20</f>
        <v>0</v>
      </c>
      <c r="L25" s="171">
        <f>Pasākumu_līmenis!J20</f>
        <v>62365526.159999996</v>
      </c>
      <c r="M25" s="172">
        <f t="shared" si="14"/>
        <v>0.98756815013886246</v>
      </c>
      <c r="N25" s="172">
        <f t="shared" si="15"/>
        <v>0</v>
      </c>
      <c r="O25" s="172">
        <f t="shared" si="22"/>
        <v>0</v>
      </c>
      <c r="P25" s="171">
        <f>Pasākumu_līmenis!N20</f>
        <v>17</v>
      </c>
      <c r="Q25" s="171">
        <v>62365526.159999996</v>
      </c>
      <c r="R25" s="172">
        <v>0.98756815013886246</v>
      </c>
      <c r="S25" s="171">
        <f>Pasākumu_līmenis!Q20</f>
        <v>62365526.159999996</v>
      </c>
      <c r="T25" s="172">
        <f t="shared" si="16"/>
        <v>0.98756815013886246</v>
      </c>
      <c r="U25" s="172">
        <f t="shared" si="17"/>
        <v>0</v>
      </c>
      <c r="V25" s="172">
        <f t="shared" si="23"/>
        <v>0</v>
      </c>
      <c r="W25" s="171">
        <f>Pasākumu_līmenis!U20</f>
        <v>17</v>
      </c>
      <c r="X25" s="171">
        <v>62365526.159999996</v>
      </c>
      <c r="Y25" s="172">
        <v>0.98756815013886246</v>
      </c>
      <c r="Z25" s="171">
        <f>Pasākumu_līmenis!X20</f>
        <v>62365526.159999996</v>
      </c>
      <c r="AA25" s="172">
        <f t="shared" si="18"/>
        <v>0.98756815013886246</v>
      </c>
      <c r="AB25" s="172">
        <f t="shared" si="19"/>
        <v>0</v>
      </c>
      <c r="AC25" s="172">
        <f t="shared" si="1"/>
        <v>0</v>
      </c>
      <c r="AD25" s="171">
        <f>Pasākumu_līmenis!AB20</f>
        <v>17</v>
      </c>
      <c r="AE25" s="171">
        <v>62365526.159999996</v>
      </c>
      <c r="AF25" s="172">
        <v>0.98756815013886246</v>
      </c>
      <c r="AG25" s="171">
        <f>Pasākumu_līmenis!AE20</f>
        <v>55386298.799999997</v>
      </c>
      <c r="AH25" s="172">
        <f t="shared" si="20"/>
        <v>0.87705096095278889</v>
      </c>
      <c r="AI25" s="172">
        <f t="shared" si="21"/>
        <v>0</v>
      </c>
      <c r="AJ25" s="172">
        <f t="shared" si="3"/>
        <v>0</v>
      </c>
      <c r="AK25" s="171">
        <v>55386298.799999997</v>
      </c>
      <c r="AL25" s="172">
        <v>0.87705096095278889</v>
      </c>
    </row>
    <row r="26" spans="1:38" ht="21" customHeight="1" x14ac:dyDescent="0.3">
      <c r="A26" s="255" t="s">
        <v>245</v>
      </c>
      <c r="B26" s="256" t="str">
        <f>VLOOKUP(A26,saīsinājumi_LV_ENG!A:G,5,FALSE)</f>
        <v>Tehnoloģiju pārneses sistēma</v>
      </c>
      <c r="C26" s="12" t="s">
        <v>167</v>
      </c>
      <c r="D26" s="12" t="str">
        <f ca="1">IFERROR(IF((VLOOKUP(A26,Pasākumu_līmenis!A:H,3,0))=0,"",VLOOKUP(A26,Pasākumu_līmenis!A:H,3,0)),"")</f>
        <v/>
      </c>
      <c r="E26" s="40" t="str">
        <f>Pasākumu_līmenis!D21</f>
        <v>ERAF</v>
      </c>
      <c r="F26" s="40" t="str">
        <f>Pasākumu_līmenis!E21</f>
        <v>EM</v>
      </c>
      <c r="G26" s="279" t="str">
        <f>VLOOKUP(A26,'2. Intervences kategorijas - Pa'!B:D,2,FALSE)</f>
        <v>01 - Nostiprināt pētniecību, tehnoloģiju attīstību un inovāciju</v>
      </c>
      <c r="H26" s="171">
        <f>Pasākumu_līmenis!F21</f>
        <v>30779847</v>
      </c>
      <c r="I26" s="171">
        <f>Pasākumu_līmenis!G21</f>
        <v>0</v>
      </c>
      <c r="J26" s="171">
        <f>Pasākumu_līmenis!H21</f>
        <v>30779847</v>
      </c>
      <c r="K26" s="171">
        <f>Pasākumu_līmenis!I21</f>
        <v>12761000</v>
      </c>
      <c r="L26" s="171">
        <f>Pasākumu_līmenis!J21</f>
        <v>25069741.940000001</v>
      </c>
      <c r="M26" s="172">
        <f t="shared" si="14"/>
        <v>0.81448559312201918</v>
      </c>
      <c r="N26" s="172">
        <f t="shared" si="15"/>
        <v>0</v>
      </c>
      <c r="O26" s="172">
        <f t="shared" si="22"/>
        <v>0</v>
      </c>
      <c r="P26" s="171">
        <f>Pasākumu_līmenis!N21</f>
        <v>1</v>
      </c>
      <c r="Q26" s="171">
        <v>25069741.940000001</v>
      </c>
      <c r="R26" s="172">
        <v>0.81448559312201918</v>
      </c>
      <c r="S26" s="171">
        <f>Pasākumu_līmenis!Q21</f>
        <v>25069741.940000001</v>
      </c>
      <c r="T26" s="172">
        <f t="shared" si="16"/>
        <v>0.81448559312201918</v>
      </c>
      <c r="U26" s="172">
        <f t="shared" si="17"/>
        <v>0</v>
      </c>
      <c r="V26" s="172">
        <f t="shared" si="23"/>
        <v>0</v>
      </c>
      <c r="W26" s="171">
        <f>Pasākumu_līmenis!U21</f>
        <v>1</v>
      </c>
      <c r="X26" s="171">
        <v>25069741.940000001</v>
      </c>
      <c r="Y26" s="172">
        <v>0.81448559312201918</v>
      </c>
      <c r="Z26" s="171">
        <f>Pasākumu_līmenis!X21</f>
        <v>25069741.940000001</v>
      </c>
      <c r="AA26" s="172">
        <f t="shared" si="18"/>
        <v>0.81448559312201918</v>
      </c>
      <c r="AB26" s="172">
        <f t="shared" si="19"/>
        <v>0</v>
      </c>
      <c r="AC26" s="172">
        <f t="shared" si="1"/>
        <v>0</v>
      </c>
      <c r="AD26" s="171">
        <f>Pasākumu_līmenis!AB21</f>
        <v>1</v>
      </c>
      <c r="AE26" s="171">
        <v>25069741.940000001</v>
      </c>
      <c r="AF26" s="172">
        <v>0.81448559312201918</v>
      </c>
      <c r="AG26" s="171">
        <f>Pasākumu_līmenis!AE21</f>
        <v>25069741.940000001</v>
      </c>
      <c r="AH26" s="172">
        <f t="shared" si="20"/>
        <v>0.81448559312201918</v>
      </c>
      <c r="AI26" s="172">
        <f t="shared" si="21"/>
        <v>0</v>
      </c>
      <c r="AJ26" s="172">
        <f t="shared" si="3"/>
        <v>0</v>
      </c>
      <c r="AK26" s="171">
        <v>25069741.940000001</v>
      </c>
      <c r="AL26" s="172">
        <v>0.81448559312201918</v>
      </c>
    </row>
    <row r="27" spans="1:38" ht="21" customHeight="1" x14ac:dyDescent="0.3">
      <c r="A27" s="255" t="s">
        <v>246</v>
      </c>
      <c r="B27" s="256" t="str">
        <f>VLOOKUP(A27,saīsinājumi_LV_ENG!A:G,5,FALSE)</f>
        <v xml:space="preserve">Jaunu produktu ieviešana </v>
      </c>
      <c r="C27" s="12" t="s">
        <v>168</v>
      </c>
      <c r="D27" s="12" t="str">
        <f ca="1">IFERROR(IF((VLOOKUP(A27,Pasākumu_līmenis!A:H,3,0))=0,"",VLOOKUP(A27,Pasākumu_līmenis!A:H,3,0)),"")</f>
        <v/>
      </c>
      <c r="E27" s="40" t="str">
        <f>Pasākumu_līmenis!D22</f>
        <v>ERAF</v>
      </c>
      <c r="F27" s="40" t="str">
        <f>Pasākumu_līmenis!E22</f>
        <v>EM</v>
      </c>
      <c r="G27" s="279" t="str">
        <f>VLOOKUP(A27,'2. Intervences kategorijas - Pa'!B:D,2,FALSE)</f>
        <v>01 - Nostiprināt pētniecību, tehnoloģiju attīstību un inovāciju</v>
      </c>
      <c r="H27" s="171">
        <f>Pasākumu_līmenis!F22</f>
        <v>45129876</v>
      </c>
      <c r="I27" s="171">
        <f>Pasākumu_līmenis!G22</f>
        <v>0</v>
      </c>
      <c r="J27" s="171">
        <f>Pasākumu_līmenis!H22</f>
        <v>45129876</v>
      </c>
      <c r="K27" s="171">
        <f>Pasākumu_līmenis!I22</f>
        <v>0</v>
      </c>
      <c r="L27" s="171">
        <f>Pasākumu_līmenis!J22</f>
        <v>37454815.280000001</v>
      </c>
      <c r="M27" s="172">
        <f t="shared" si="14"/>
        <v>0.82993392846902569</v>
      </c>
      <c r="N27" s="172">
        <f t="shared" si="15"/>
        <v>0</v>
      </c>
      <c r="O27" s="172">
        <f t="shared" si="22"/>
        <v>0</v>
      </c>
      <c r="P27" s="171">
        <f>Pasākumu_līmenis!N22</f>
        <v>33</v>
      </c>
      <c r="Q27" s="171">
        <v>37454815.280000001</v>
      </c>
      <c r="R27" s="172">
        <v>0.82993392846902569</v>
      </c>
      <c r="S27" s="171">
        <f>Pasākumu_līmenis!Q22</f>
        <v>37454815.280000001</v>
      </c>
      <c r="T27" s="172">
        <f t="shared" si="16"/>
        <v>0.82993392846902569</v>
      </c>
      <c r="U27" s="172">
        <f t="shared" si="17"/>
        <v>0</v>
      </c>
      <c r="V27" s="172">
        <f t="shared" si="23"/>
        <v>0</v>
      </c>
      <c r="W27" s="171">
        <f>Pasākumu_līmenis!U22</f>
        <v>33</v>
      </c>
      <c r="X27" s="171">
        <v>37454815.280000001</v>
      </c>
      <c r="Y27" s="172">
        <v>0.82993392846902569</v>
      </c>
      <c r="Z27" s="171">
        <f>Pasākumu_līmenis!X22</f>
        <v>37454815.280000001</v>
      </c>
      <c r="AA27" s="172">
        <f t="shared" si="18"/>
        <v>0.82993392846902569</v>
      </c>
      <c r="AB27" s="172">
        <f t="shared" si="19"/>
        <v>0</v>
      </c>
      <c r="AC27" s="172">
        <f t="shared" si="1"/>
        <v>0</v>
      </c>
      <c r="AD27" s="171">
        <f>Pasākumu_līmenis!AB22</f>
        <v>33</v>
      </c>
      <c r="AE27" s="171">
        <v>37454815.280000001</v>
      </c>
      <c r="AF27" s="172">
        <v>0.82993392846902569</v>
      </c>
      <c r="AG27" s="171">
        <f>Pasākumu_līmenis!AE22</f>
        <v>37228874.539999999</v>
      </c>
      <c r="AH27" s="172">
        <f t="shared" si="20"/>
        <v>0.82492747243533304</v>
      </c>
      <c r="AI27" s="172">
        <f t="shared" si="21"/>
        <v>0</v>
      </c>
      <c r="AJ27" s="172">
        <f t="shared" si="3"/>
        <v>0</v>
      </c>
      <c r="AK27" s="171">
        <v>37228874.539999999</v>
      </c>
      <c r="AL27" s="172">
        <v>0.82492747243533304</v>
      </c>
    </row>
    <row r="28" spans="1:38" ht="29.25" customHeight="1" x14ac:dyDescent="0.3">
      <c r="A28" s="253" t="s">
        <v>430</v>
      </c>
      <c r="B28" s="254" t="str">
        <f>VLOOKUP(A28,saīsinājumi_LV_ENG!A:G,5,FALSE)</f>
        <v>Inovāciju ieviešana komersantos</v>
      </c>
      <c r="C28" s="222" t="s">
        <v>9</v>
      </c>
      <c r="D28" s="222" t="str">
        <f ca="1">IFERROR(IF((VLOOKUP(A28,Pasākumu_līmenis!A:H,3,0))=0,"",VLOOKUP(A28,Pasākumu_līmenis!A:H,3,0)),"")</f>
        <v/>
      </c>
      <c r="E28" s="224"/>
      <c r="F28" s="224"/>
      <c r="G28" s="278"/>
      <c r="H28" s="225">
        <f>SUM(H29:H31)</f>
        <v>24195278</v>
      </c>
      <c r="I28" s="225">
        <f>SUM(I29:I31)</f>
        <v>0</v>
      </c>
      <c r="J28" s="225">
        <f>SUM(J29:J31)</f>
        <v>24195278</v>
      </c>
      <c r="K28" s="225">
        <f>SUM(K29:K31)</f>
        <v>292849.87196192303</v>
      </c>
      <c r="L28" s="225">
        <f>SUM(L29:L31)</f>
        <v>19799028.82</v>
      </c>
      <c r="M28" s="226">
        <f t="shared" si="14"/>
        <v>0.81830135698378836</v>
      </c>
      <c r="N28" s="226">
        <f t="shared" si="15"/>
        <v>0</v>
      </c>
      <c r="O28" s="226">
        <f t="shared" si="22"/>
        <v>0</v>
      </c>
      <c r="P28" s="225">
        <f>SUM(P29:P31)</f>
        <v>19</v>
      </c>
      <c r="Q28" s="225">
        <v>19799028.82</v>
      </c>
      <c r="R28" s="226">
        <v>0.81830135698378836</v>
      </c>
      <c r="S28" s="225">
        <f>SUM(S29:S31)</f>
        <v>19799028.82</v>
      </c>
      <c r="T28" s="226">
        <f t="shared" si="16"/>
        <v>0.81830135698378836</v>
      </c>
      <c r="U28" s="226">
        <f t="shared" si="17"/>
        <v>0</v>
      </c>
      <c r="V28" s="226">
        <f t="shared" si="23"/>
        <v>0</v>
      </c>
      <c r="W28" s="225">
        <f>SUM(W29:W31)</f>
        <v>19</v>
      </c>
      <c r="X28" s="225">
        <v>19799028.82</v>
      </c>
      <c r="Y28" s="226">
        <v>0.81830135698378836</v>
      </c>
      <c r="Z28" s="225">
        <f>SUM(Z29:Z31)</f>
        <v>19799028.82</v>
      </c>
      <c r="AA28" s="226">
        <f t="shared" si="18"/>
        <v>0.81830135698378836</v>
      </c>
      <c r="AB28" s="226">
        <f t="shared" si="19"/>
        <v>0</v>
      </c>
      <c r="AC28" s="226">
        <f t="shared" si="1"/>
        <v>0</v>
      </c>
      <c r="AD28" s="225">
        <f>SUM(AD29:AD31)</f>
        <v>19</v>
      </c>
      <c r="AE28" s="225">
        <v>19799028.82</v>
      </c>
      <c r="AF28" s="226">
        <v>0.81830135698378836</v>
      </c>
      <c r="AG28" s="225">
        <f>SUM(AG29:AG31)</f>
        <v>18302537.18</v>
      </c>
      <c r="AH28" s="226">
        <f t="shared" si="20"/>
        <v>0.75645079093532219</v>
      </c>
      <c r="AI28" s="226">
        <f t="shared" si="21"/>
        <v>-6.1995567895434256E-5</v>
      </c>
      <c r="AJ28" s="226">
        <f t="shared" si="3"/>
        <v>-8.1949134240121769E-5</v>
      </c>
      <c r="AK28" s="225">
        <v>18304037.18</v>
      </c>
      <c r="AL28" s="226">
        <v>0.75651278650321763</v>
      </c>
    </row>
    <row r="29" spans="1:38" ht="21" customHeight="1" x14ac:dyDescent="0.3">
      <c r="A29" s="255" t="s">
        <v>247</v>
      </c>
      <c r="B29" s="256" t="str">
        <f>VLOOKUP(A29,saīsinājumi_LV_ENG!A:G,5,FALSE)</f>
        <v>Nodarbināto apmācības</v>
      </c>
      <c r="C29" s="12" t="s">
        <v>169</v>
      </c>
      <c r="D29" s="12" t="str">
        <f ca="1">IFERROR(IF((VLOOKUP(A29,Pasākumu_līmenis!A:H,3,0))=0,"",VLOOKUP(A29,Pasākumu_līmenis!A:H,3,0)),"")</f>
        <v/>
      </c>
      <c r="E29" s="40" t="str">
        <f>Pasākumu_līmenis!D23</f>
        <v>ERAF</v>
      </c>
      <c r="F29" s="40" t="str">
        <f>Pasākumu_līmenis!E23</f>
        <v>EM</v>
      </c>
      <c r="G29" s="279" t="str">
        <f>VLOOKUP(A29,'2. Intervences kategorijas - Pa'!B:D,2,FALSE)</f>
        <v>01 - Nostiprināt pētniecību, tehnoloģiju attīstību un inovāciju</v>
      </c>
      <c r="H29" s="171">
        <f>Pasākumu_līmenis!F23</f>
        <v>14735844</v>
      </c>
      <c r="I29" s="171">
        <f>Pasākumu_līmenis!G23</f>
        <v>0</v>
      </c>
      <c r="J29" s="171">
        <f>Pasākumu_līmenis!H23</f>
        <v>14735844</v>
      </c>
      <c r="K29" s="171">
        <f>Pasākumu_līmenis!I23</f>
        <v>0</v>
      </c>
      <c r="L29" s="171">
        <f>Pasākumu_līmenis!J23</f>
        <v>10450395.23</v>
      </c>
      <c r="M29" s="172">
        <f t="shared" si="14"/>
        <v>0.70918199391904535</v>
      </c>
      <c r="N29" s="172">
        <f t="shared" si="15"/>
        <v>0</v>
      </c>
      <c r="O29" s="172">
        <f t="shared" si="22"/>
        <v>0</v>
      </c>
      <c r="P29" s="171">
        <f>Pasākumu_līmenis!N23</f>
        <v>15</v>
      </c>
      <c r="Q29" s="171">
        <v>10450395.23</v>
      </c>
      <c r="R29" s="172">
        <v>0.70918199391904535</v>
      </c>
      <c r="S29" s="171">
        <f>Pasākumu_līmenis!Q23</f>
        <v>10450395.23</v>
      </c>
      <c r="T29" s="172">
        <f t="shared" si="16"/>
        <v>0.70918199391904535</v>
      </c>
      <c r="U29" s="172">
        <f t="shared" si="17"/>
        <v>0</v>
      </c>
      <c r="V29" s="172">
        <f t="shared" si="23"/>
        <v>0</v>
      </c>
      <c r="W29" s="171">
        <f>Pasākumu_līmenis!U23</f>
        <v>15</v>
      </c>
      <c r="X29" s="171">
        <v>10450395.23</v>
      </c>
      <c r="Y29" s="172">
        <v>0.70918199391904535</v>
      </c>
      <c r="Z29" s="171">
        <f>Pasākumu_līmenis!X23</f>
        <v>10450395.23</v>
      </c>
      <c r="AA29" s="172">
        <f t="shared" si="18"/>
        <v>0.70918199391904535</v>
      </c>
      <c r="AB29" s="172">
        <f t="shared" si="19"/>
        <v>0</v>
      </c>
      <c r="AC29" s="172">
        <f t="shared" si="1"/>
        <v>0</v>
      </c>
      <c r="AD29" s="171">
        <f>Pasākumu_līmenis!AB23</f>
        <v>15</v>
      </c>
      <c r="AE29" s="171">
        <v>10450395.23</v>
      </c>
      <c r="AF29" s="172">
        <v>0.70918199391904535</v>
      </c>
      <c r="AG29" s="171">
        <f>Pasākumu_līmenis!AE23</f>
        <v>10498076.439999999</v>
      </c>
      <c r="AH29" s="172">
        <f t="shared" si="20"/>
        <v>0.71241772374897561</v>
      </c>
      <c r="AI29" s="172">
        <f t="shared" si="21"/>
        <v>0</v>
      </c>
      <c r="AJ29" s="172">
        <f t="shared" si="3"/>
        <v>0</v>
      </c>
      <c r="AK29" s="171">
        <v>10498076.439999999</v>
      </c>
      <c r="AL29" s="172">
        <v>0.71241772374897561</v>
      </c>
    </row>
    <row r="30" spans="1:38" ht="21" customHeight="1" x14ac:dyDescent="0.3">
      <c r="A30" s="255" t="s">
        <v>248</v>
      </c>
      <c r="B30" s="256" t="str">
        <f>VLOOKUP(A30,saīsinājumi_LV_ENG!A:G,5,FALSE)</f>
        <v>Inovāciju motivācija</v>
      </c>
      <c r="C30" s="12" t="s">
        <v>170</v>
      </c>
      <c r="D30" s="12" t="str">
        <f ca="1">IFERROR(IF((VLOOKUP(A30,Pasākumu_līmenis!A:H,3,0))=0,"",VLOOKUP(A30,Pasākumu_līmenis!A:H,3,0)),"")</f>
        <v/>
      </c>
      <c r="E30" s="40" t="str">
        <f>Pasākumu_līmenis!D24</f>
        <v>ERAF</v>
      </c>
      <c r="F30" s="40" t="str">
        <f>Pasākumu_līmenis!E24</f>
        <v>EM</v>
      </c>
      <c r="G30" s="279" t="str">
        <f>VLOOKUP(A30,'2. Intervences kategorijas - Pa'!B:D,2,FALSE)</f>
        <v>01 - Nostiprināt pētniecību, tehnoloģiju attīstību un inovāciju</v>
      </c>
      <c r="H30" s="171">
        <f>Pasākumu_līmenis!F24</f>
        <v>4801192</v>
      </c>
      <c r="I30" s="171">
        <f>Pasākumu_līmenis!G24</f>
        <v>0</v>
      </c>
      <c r="J30" s="171">
        <f>Pasākumu_līmenis!H24</f>
        <v>4801192</v>
      </c>
      <c r="K30" s="171">
        <f>Pasākumu_līmenis!I24</f>
        <v>292849.87196192303</v>
      </c>
      <c r="L30" s="171">
        <f>Pasākumu_līmenis!J24</f>
        <v>4785304.3499999996</v>
      </c>
      <c r="M30" s="172">
        <f t="shared" si="14"/>
        <v>0.99669089467782157</v>
      </c>
      <c r="N30" s="172">
        <f t="shared" si="15"/>
        <v>0</v>
      </c>
      <c r="O30" s="172">
        <f t="shared" si="22"/>
        <v>0</v>
      </c>
      <c r="P30" s="171">
        <f>Pasākumu_līmenis!N24</f>
        <v>1</v>
      </c>
      <c r="Q30" s="171">
        <v>4785304.3499999996</v>
      </c>
      <c r="R30" s="172">
        <v>0.99669089467782157</v>
      </c>
      <c r="S30" s="171">
        <f>Pasākumu_līmenis!Q24</f>
        <v>4785304.3499999996</v>
      </c>
      <c r="T30" s="172">
        <f t="shared" si="16"/>
        <v>0.99669089467782157</v>
      </c>
      <c r="U30" s="172">
        <f t="shared" si="17"/>
        <v>0</v>
      </c>
      <c r="V30" s="172">
        <f t="shared" si="23"/>
        <v>0</v>
      </c>
      <c r="W30" s="171">
        <f>Pasākumu_līmenis!U24</f>
        <v>1</v>
      </c>
      <c r="X30" s="171">
        <v>4785304.3499999996</v>
      </c>
      <c r="Y30" s="172">
        <v>0.99669089467782157</v>
      </c>
      <c r="Z30" s="171">
        <f>Pasākumu_līmenis!X24</f>
        <v>4785304.3499999996</v>
      </c>
      <c r="AA30" s="172">
        <f t="shared" si="18"/>
        <v>0.99669089467782157</v>
      </c>
      <c r="AB30" s="172">
        <f t="shared" si="19"/>
        <v>0</v>
      </c>
      <c r="AC30" s="172">
        <f t="shared" si="1"/>
        <v>0</v>
      </c>
      <c r="AD30" s="171">
        <f>Pasākumu_līmenis!AB24</f>
        <v>1</v>
      </c>
      <c r="AE30" s="171">
        <v>4785304.3499999996</v>
      </c>
      <c r="AF30" s="172">
        <v>0.99669089467782157</v>
      </c>
      <c r="AG30" s="171">
        <f>Pasākumu_līmenis!AE24</f>
        <v>4785304.3499999996</v>
      </c>
      <c r="AH30" s="172">
        <f t="shared" si="20"/>
        <v>0.99669089467782157</v>
      </c>
      <c r="AI30" s="172">
        <f t="shared" si="21"/>
        <v>0</v>
      </c>
      <c r="AJ30" s="172">
        <f t="shared" si="3"/>
        <v>0</v>
      </c>
      <c r="AK30" s="171">
        <v>4785304.3499999996</v>
      </c>
      <c r="AL30" s="172">
        <v>0.99669089467782157</v>
      </c>
    </row>
    <row r="31" spans="1:38" ht="39.75" customHeight="1" x14ac:dyDescent="0.3">
      <c r="A31" s="255" t="s">
        <v>395</v>
      </c>
      <c r="B31" s="256" t="str">
        <f>VLOOKUP(A31,saīsinājumi_LV_ENG!A:G,5,FALSE)</f>
        <v>IKT un netehnoloģiskās apmācības</v>
      </c>
      <c r="C31" s="12" t="s">
        <v>394</v>
      </c>
      <c r="D31" s="12" t="str">
        <f ca="1">IFERROR(IF((VLOOKUP(A31,Pasākumu_līmenis!A:H,3,0))=0,"",VLOOKUP(A31,Pasākumu_līmenis!A:H,3,0)),"")</f>
        <v/>
      </c>
      <c r="E31" s="40" t="str">
        <f>Pasākumu_līmenis!D25</f>
        <v>ERAF</v>
      </c>
      <c r="F31" s="40" t="s">
        <v>349</v>
      </c>
      <c r="G31" s="279" t="str">
        <f>VLOOKUP(A31,'2. Intervences kategorijas - Pa'!B:D,2,FALSE)</f>
        <v>01 - Nostiprināt pētniecību, tehnoloģiju attīstību un inovāciju</v>
      </c>
      <c r="H31" s="171">
        <f>Pasākumu_līmenis!F25</f>
        <v>4658242</v>
      </c>
      <c r="I31" s="171">
        <f>Pasākumu_līmenis!G25</f>
        <v>0</v>
      </c>
      <c r="J31" s="171">
        <f>Pasākumu_līmenis!H25</f>
        <v>4658242</v>
      </c>
      <c r="K31" s="171">
        <f>Pasākumu_līmenis!I25</f>
        <v>0</v>
      </c>
      <c r="L31" s="171">
        <f>Pasākumu_līmenis!J25</f>
        <v>4563329.24</v>
      </c>
      <c r="M31" s="172">
        <f>L31/$H31</f>
        <v>0.97962476831388323</v>
      </c>
      <c r="N31" s="172">
        <f>M31-R31</f>
        <v>0</v>
      </c>
      <c r="O31" s="172">
        <f t="shared" si="22"/>
        <v>0</v>
      </c>
      <c r="P31" s="171">
        <f>Pasākumu_līmenis!N25</f>
        <v>3</v>
      </c>
      <c r="Q31" s="171">
        <v>4563329.24</v>
      </c>
      <c r="R31" s="172">
        <v>0.97962476831388323</v>
      </c>
      <c r="S31" s="171">
        <f>Pasākumu_līmenis!Q25</f>
        <v>4563329.24</v>
      </c>
      <c r="T31" s="172">
        <f>S31/$H31</f>
        <v>0.97962476831388323</v>
      </c>
      <c r="U31" s="172">
        <f>T31-Y31</f>
        <v>0</v>
      </c>
      <c r="V31" s="172">
        <f t="shared" si="23"/>
        <v>0</v>
      </c>
      <c r="W31" s="171">
        <f>Pasākumu_līmenis!U25</f>
        <v>3</v>
      </c>
      <c r="X31" s="171">
        <v>4563329.24</v>
      </c>
      <c r="Y31" s="172">
        <v>0.97962476831388323</v>
      </c>
      <c r="Z31" s="171">
        <f>Pasākumu_līmenis!X25</f>
        <v>4563329.24</v>
      </c>
      <c r="AA31" s="172">
        <f>Z31/$H31</f>
        <v>0.97962476831388323</v>
      </c>
      <c r="AB31" s="172">
        <f>AA31-AF31</f>
        <v>0</v>
      </c>
      <c r="AC31" s="172">
        <f t="shared" si="1"/>
        <v>0</v>
      </c>
      <c r="AD31" s="171">
        <f>Pasākumu_līmenis!AB25</f>
        <v>3</v>
      </c>
      <c r="AE31" s="171">
        <v>4563329.24</v>
      </c>
      <c r="AF31" s="172">
        <v>0.97962476831388323</v>
      </c>
      <c r="AG31" s="171">
        <f>Pasākumu_līmenis!AE25</f>
        <v>3019156.3900000006</v>
      </c>
      <c r="AH31" s="172">
        <f>AG31/$H31</f>
        <v>0.64813214727787882</v>
      </c>
      <c r="AI31" s="172">
        <f>AH31-AL31</f>
        <v>-3.2200989128516877E-4</v>
      </c>
      <c r="AJ31" s="172">
        <f t="shared" si="3"/>
        <v>-4.9658081103359114E-4</v>
      </c>
      <c r="AK31" s="171">
        <v>3020656.3900000006</v>
      </c>
      <c r="AL31" s="172">
        <v>0.64845415716916399</v>
      </c>
    </row>
    <row r="32" spans="1:38" s="24" customFormat="1" ht="36.75" customHeight="1" x14ac:dyDescent="0.3">
      <c r="A32" s="249" t="s">
        <v>12</v>
      </c>
      <c r="B32" s="250" t="str">
        <f>VLOOKUP(A32,saīsinājumi_LV_ENG!A:G,5,FALSE)</f>
        <v>Informāciju un komunikāciju tehnoloģijas (IKT)</v>
      </c>
      <c r="C32" s="10" t="s">
        <v>13</v>
      </c>
      <c r="D32" s="230"/>
      <c r="E32" s="28"/>
      <c r="F32" s="28"/>
      <c r="G32" s="280"/>
      <c r="H32" s="187">
        <f>H33+H35</f>
        <v>171083829</v>
      </c>
      <c r="I32" s="187">
        <f>I33+I35</f>
        <v>0</v>
      </c>
      <c r="J32" s="187">
        <f>J33+J35</f>
        <v>171083829</v>
      </c>
      <c r="K32" s="187">
        <f>K33+K35</f>
        <v>7856779.6605614899</v>
      </c>
      <c r="L32" s="187">
        <f>L33+L35</f>
        <v>165233954.75</v>
      </c>
      <c r="M32" s="188">
        <f t="shared" si="14"/>
        <v>0.96580697144672856</v>
      </c>
      <c r="N32" s="188">
        <f t="shared" si="15"/>
        <v>0</v>
      </c>
      <c r="O32" s="188">
        <f t="shared" si="22"/>
        <v>0</v>
      </c>
      <c r="P32" s="187">
        <f>P33+P35</f>
        <v>59</v>
      </c>
      <c r="Q32" s="175">
        <v>165233954.75</v>
      </c>
      <c r="R32" s="176">
        <v>0.96580697144672856</v>
      </c>
      <c r="S32" s="187">
        <f>S33+S35</f>
        <v>165233954.75</v>
      </c>
      <c r="T32" s="188">
        <f t="shared" si="16"/>
        <v>0.96580697144672856</v>
      </c>
      <c r="U32" s="188">
        <f t="shared" si="17"/>
        <v>0</v>
      </c>
      <c r="V32" s="188">
        <f t="shared" si="23"/>
        <v>0</v>
      </c>
      <c r="W32" s="187">
        <f>W33+W35</f>
        <v>59</v>
      </c>
      <c r="X32" s="187">
        <v>165233954.75</v>
      </c>
      <c r="Y32" s="188">
        <v>0.96580697144672856</v>
      </c>
      <c r="Z32" s="187">
        <f>Z33+Z35</f>
        <v>165233954.75</v>
      </c>
      <c r="AA32" s="188">
        <f t="shared" si="18"/>
        <v>0.96580697144672856</v>
      </c>
      <c r="AB32" s="188">
        <f t="shared" si="19"/>
        <v>0</v>
      </c>
      <c r="AC32" s="188">
        <f t="shared" si="1"/>
        <v>0</v>
      </c>
      <c r="AD32" s="187">
        <f>AD33+AD35</f>
        <v>59</v>
      </c>
      <c r="AE32" s="175">
        <v>165233954.75</v>
      </c>
      <c r="AF32" s="176">
        <v>0.96580697144672856</v>
      </c>
      <c r="AG32" s="187">
        <f>AG33+AG35</f>
        <v>165233954.75</v>
      </c>
      <c r="AH32" s="188">
        <f t="shared" si="20"/>
        <v>0.96580697144672856</v>
      </c>
      <c r="AI32" s="188">
        <f t="shared" si="21"/>
        <v>0</v>
      </c>
      <c r="AJ32" s="188">
        <f t="shared" si="3"/>
        <v>0</v>
      </c>
      <c r="AK32" s="187">
        <v>165233954.75</v>
      </c>
      <c r="AL32" s="188">
        <v>0.96580697144672856</v>
      </c>
    </row>
    <row r="33" spans="1:38" ht="21" customHeight="1" x14ac:dyDescent="0.3">
      <c r="A33" s="251" t="s">
        <v>10</v>
      </c>
      <c r="B33" s="252" t="str">
        <f>VLOOKUP(A33,saīsinājumi_LV_ENG!A:G,5,FALSE)</f>
        <v>Platjoslu pakalpojumi</v>
      </c>
      <c r="C33" s="217" t="s">
        <v>14</v>
      </c>
      <c r="D33" s="217" t="str">
        <f ca="1">IFERROR(IF((VLOOKUP(A33,Pasākumu_līmenis!A:H,3,0))=0,"",VLOOKUP(A33,Pasākumu_līmenis!A:H,3,0)),"")</f>
        <v/>
      </c>
      <c r="E33" s="219"/>
      <c r="F33" s="219"/>
      <c r="G33" s="277"/>
      <c r="H33" s="220">
        <f>H34</f>
        <v>42274115</v>
      </c>
      <c r="I33" s="220">
        <f>I34</f>
        <v>0</v>
      </c>
      <c r="J33" s="220">
        <f>J34</f>
        <v>42274115</v>
      </c>
      <c r="K33" s="220">
        <f>K34</f>
        <v>0</v>
      </c>
      <c r="L33" s="220">
        <f>L34</f>
        <v>39542253.600000001</v>
      </c>
      <c r="M33" s="221">
        <f t="shared" si="14"/>
        <v>0.93537744314694704</v>
      </c>
      <c r="N33" s="221">
        <f t="shared" si="15"/>
        <v>0</v>
      </c>
      <c r="O33" s="221">
        <f t="shared" si="22"/>
        <v>0</v>
      </c>
      <c r="P33" s="220">
        <f>P34</f>
        <v>1</v>
      </c>
      <c r="Q33" s="220">
        <v>39542253.600000001</v>
      </c>
      <c r="R33" s="221">
        <v>0.93537744314694704</v>
      </c>
      <c r="S33" s="220">
        <f>S34</f>
        <v>39542253.600000001</v>
      </c>
      <c r="T33" s="221">
        <f t="shared" si="16"/>
        <v>0.93537744314694704</v>
      </c>
      <c r="U33" s="221">
        <f t="shared" si="17"/>
        <v>0</v>
      </c>
      <c r="V33" s="221">
        <f t="shared" si="23"/>
        <v>0</v>
      </c>
      <c r="W33" s="220">
        <f>W34</f>
        <v>1</v>
      </c>
      <c r="X33" s="220">
        <v>39542253.600000001</v>
      </c>
      <c r="Y33" s="221">
        <v>0.93537744314694704</v>
      </c>
      <c r="Z33" s="220">
        <f>Z34</f>
        <v>39542253.600000001</v>
      </c>
      <c r="AA33" s="221">
        <f t="shared" si="18"/>
        <v>0.93537744314694704</v>
      </c>
      <c r="AB33" s="221">
        <f t="shared" si="19"/>
        <v>0</v>
      </c>
      <c r="AC33" s="221">
        <f t="shared" si="1"/>
        <v>0</v>
      </c>
      <c r="AD33" s="220">
        <f>AD34</f>
        <v>1</v>
      </c>
      <c r="AE33" s="220">
        <v>39542253.600000001</v>
      </c>
      <c r="AF33" s="221">
        <v>0.93537744314694704</v>
      </c>
      <c r="AG33" s="220">
        <f>AG34</f>
        <v>39542253.600000001</v>
      </c>
      <c r="AH33" s="221">
        <f t="shared" si="20"/>
        <v>0.93537744314694704</v>
      </c>
      <c r="AI33" s="221">
        <f t="shared" si="21"/>
        <v>0</v>
      </c>
      <c r="AJ33" s="221">
        <f>IFERROR(((AG33-AK33)/AK33),0)</f>
        <v>0</v>
      </c>
      <c r="AK33" s="220">
        <v>39542253.600000001</v>
      </c>
      <c r="AL33" s="221">
        <v>0.93537744314694704</v>
      </c>
    </row>
    <row r="34" spans="1:38" ht="21" customHeight="1" x14ac:dyDescent="0.3">
      <c r="A34" s="257" t="s">
        <v>250</v>
      </c>
      <c r="B34" s="256" t="str">
        <f>VLOOKUP(A34,saīsinājumi_LV_ENG!A:G,5,FALSE)</f>
        <v>Platjoslas infrastruktūra</v>
      </c>
      <c r="C34" s="12" t="s">
        <v>15</v>
      </c>
      <c r="D34" s="12"/>
      <c r="E34" s="40" t="str">
        <f>Pasākumu_līmenis!D27</f>
        <v>ERAF</v>
      </c>
      <c r="F34" s="40" t="str">
        <f>Pasākumu_līmenis!E27</f>
        <v>SM</v>
      </c>
      <c r="G34" s="279" t="str">
        <f>VLOOKUP(A34,'2. Intervences kategorijas - Pa'!B:D,2,FALSE)</f>
        <v>02 - Uzlabot piekļuvi informācijai un komunikācijas tehnoloģijām, to izmantošanu un kvalitāti</v>
      </c>
      <c r="H34" s="171">
        <f>Pasākumu_līmenis!F27</f>
        <v>42274115</v>
      </c>
      <c r="I34" s="171">
        <f>Pasākumu_līmenis!G27</f>
        <v>0</v>
      </c>
      <c r="J34" s="171">
        <f>Pasākumu_līmenis!H27</f>
        <v>42274115</v>
      </c>
      <c r="K34" s="171">
        <f>Pasākumu_līmenis!I27</f>
        <v>0</v>
      </c>
      <c r="L34" s="171">
        <f>Pasākumu_līmenis!J27</f>
        <v>39542253.600000001</v>
      </c>
      <c r="M34" s="172">
        <f t="shared" si="14"/>
        <v>0.93537744314694704</v>
      </c>
      <c r="N34" s="172">
        <f t="shared" si="15"/>
        <v>0</v>
      </c>
      <c r="O34" s="172">
        <f t="shared" si="22"/>
        <v>0</v>
      </c>
      <c r="P34" s="171">
        <f>Pasākumu_līmenis!N27</f>
        <v>1</v>
      </c>
      <c r="Q34" s="171">
        <v>39542253.600000001</v>
      </c>
      <c r="R34" s="172">
        <v>0.93537744314694704</v>
      </c>
      <c r="S34" s="171">
        <f>Pasākumu_līmenis!Q27</f>
        <v>39542253.600000001</v>
      </c>
      <c r="T34" s="172">
        <f t="shared" si="16"/>
        <v>0.93537744314694704</v>
      </c>
      <c r="U34" s="172">
        <f t="shared" si="17"/>
        <v>0</v>
      </c>
      <c r="V34" s="172">
        <f t="shared" si="23"/>
        <v>0</v>
      </c>
      <c r="W34" s="171">
        <f>Pasākumu_līmenis!U27</f>
        <v>1</v>
      </c>
      <c r="X34" s="171">
        <v>39542253.600000001</v>
      </c>
      <c r="Y34" s="172">
        <v>0.93537744314694704</v>
      </c>
      <c r="Z34" s="171">
        <f>Pasākumu_līmenis!X27</f>
        <v>39542253.600000001</v>
      </c>
      <c r="AA34" s="172">
        <f t="shared" si="18"/>
        <v>0.93537744314694704</v>
      </c>
      <c r="AB34" s="172">
        <f t="shared" si="19"/>
        <v>0</v>
      </c>
      <c r="AC34" s="172">
        <f t="shared" si="1"/>
        <v>0</v>
      </c>
      <c r="AD34" s="171">
        <f>Pasākumu_līmenis!AB27</f>
        <v>1</v>
      </c>
      <c r="AE34" s="171">
        <v>39542253.600000001</v>
      </c>
      <c r="AF34" s="172">
        <v>0.93537744314694704</v>
      </c>
      <c r="AG34" s="171">
        <f>Pasākumu_līmenis!AE27</f>
        <v>39542253.600000001</v>
      </c>
      <c r="AH34" s="172">
        <f t="shared" si="20"/>
        <v>0.93537744314694704</v>
      </c>
      <c r="AI34" s="172">
        <f t="shared" si="21"/>
        <v>0</v>
      </c>
      <c r="AJ34" s="172">
        <f t="shared" si="3"/>
        <v>0</v>
      </c>
      <c r="AK34" s="171">
        <v>39542253.600000001</v>
      </c>
      <c r="AL34" s="172">
        <v>0.93537744314694704</v>
      </c>
    </row>
    <row r="35" spans="1:38" ht="41.25" customHeight="1" x14ac:dyDescent="0.3">
      <c r="A35" s="251" t="s">
        <v>16</v>
      </c>
      <c r="B35" s="252" t="s">
        <v>710</v>
      </c>
      <c r="C35" s="217" t="s">
        <v>17</v>
      </c>
      <c r="D35" s="217" t="str">
        <f ca="1">IFERROR(IF((VLOOKUP(A35,Pasākumu_līmenis!A:H,3,0))=0,"",VLOOKUP(A35,Pasākumu_līmenis!A:H,3,0)),"")</f>
        <v/>
      </c>
      <c r="E35" s="219"/>
      <c r="F35" s="219"/>
      <c r="G35" s="277"/>
      <c r="H35" s="220">
        <f>H36</f>
        <v>128809714</v>
      </c>
      <c r="I35" s="220">
        <f>I36</f>
        <v>0</v>
      </c>
      <c r="J35" s="220">
        <f>J36</f>
        <v>128809714</v>
      </c>
      <c r="K35" s="220">
        <f>K36</f>
        <v>7856779.6605614899</v>
      </c>
      <c r="L35" s="220">
        <f>L36</f>
        <v>125691701.15000001</v>
      </c>
      <c r="M35" s="221">
        <f t="shared" si="14"/>
        <v>0.97579365132353302</v>
      </c>
      <c r="N35" s="221">
        <f t="shared" si="15"/>
        <v>0</v>
      </c>
      <c r="O35" s="221">
        <f t="shared" si="22"/>
        <v>0</v>
      </c>
      <c r="P35" s="220">
        <f>P36</f>
        <v>58</v>
      </c>
      <c r="Q35" s="220">
        <v>125691701.15000001</v>
      </c>
      <c r="R35" s="221">
        <v>0.97579365132353302</v>
      </c>
      <c r="S35" s="220">
        <f>S36</f>
        <v>125691701.15000001</v>
      </c>
      <c r="T35" s="221">
        <f t="shared" si="16"/>
        <v>0.97579365132353302</v>
      </c>
      <c r="U35" s="221">
        <f t="shared" si="17"/>
        <v>0</v>
      </c>
      <c r="V35" s="221">
        <f t="shared" si="23"/>
        <v>0</v>
      </c>
      <c r="W35" s="220">
        <f>W36</f>
        <v>58</v>
      </c>
      <c r="X35" s="220">
        <v>125691701.15000001</v>
      </c>
      <c r="Y35" s="221">
        <v>0.97579365132353302</v>
      </c>
      <c r="Z35" s="220">
        <f>Z36</f>
        <v>125691701.15000001</v>
      </c>
      <c r="AA35" s="221">
        <f t="shared" si="18"/>
        <v>0.97579365132353302</v>
      </c>
      <c r="AB35" s="221">
        <f t="shared" si="19"/>
        <v>0</v>
      </c>
      <c r="AC35" s="221">
        <f t="shared" si="1"/>
        <v>0</v>
      </c>
      <c r="AD35" s="220">
        <f>AD36</f>
        <v>58</v>
      </c>
      <c r="AE35" s="220">
        <v>125691701.15000001</v>
      </c>
      <c r="AF35" s="221">
        <v>0.97579365132353302</v>
      </c>
      <c r="AG35" s="220">
        <f>AG36</f>
        <v>125691701.15000001</v>
      </c>
      <c r="AH35" s="221">
        <f t="shared" si="20"/>
        <v>0.97579365132353302</v>
      </c>
      <c r="AI35" s="221">
        <f t="shared" si="21"/>
        <v>0</v>
      </c>
      <c r="AJ35" s="221">
        <f t="shared" si="3"/>
        <v>0</v>
      </c>
      <c r="AK35" s="220">
        <v>125691701.15000001</v>
      </c>
      <c r="AL35" s="221">
        <v>0.97579365132353302</v>
      </c>
    </row>
    <row r="36" spans="1:38" ht="21" customHeight="1" x14ac:dyDescent="0.3">
      <c r="A36" s="253" t="s">
        <v>431</v>
      </c>
      <c r="B36" s="254" t="str">
        <f>VLOOKUP(A36,saīsinājumi_LV_ENG!A:G,5,FALSE)</f>
        <v>IKT un procesu pilnveide</v>
      </c>
      <c r="C36" s="222" t="s">
        <v>36</v>
      </c>
      <c r="D36" s="222" t="str">
        <f ca="1">IFERROR(IF((VLOOKUP(A36,Pasākumu_līmenis!A:H,3,0))=0,"",VLOOKUP(A36,Pasākumu_līmenis!A:H,3,0)),"")</f>
        <v/>
      </c>
      <c r="E36" s="224"/>
      <c r="F36" s="224"/>
      <c r="G36" s="278"/>
      <c r="H36" s="225">
        <f>SUM(H37:H38)</f>
        <v>128809714</v>
      </c>
      <c r="I36" s="225">
        <f>SUM(I37:I38)</f>
        <v>0</v>
      </c>
      <c r="J36" s="225">
        <f>SUM(J37:J38)</f>
        <v>128809714</v>
      </c>
      <c r="K36" s="225">
        <f>SUM(K37:K38)</f>
        <v>7856779.6605614899</v>
      </c>
      <c r="L36" s="225">
        <f>SUM(L37:L38)</f>
        <v>125691701.15000001</v>
      </c>
      <c r="M36" s="226">
        <f t="shared" si="14"/>
        <v>0.97579365132353302</v>
      </c>
      <c r="N36" s="226">
        <f t="shared" si="15"/>
        <v>0</v>
      </c>
      <c r="O36" s="226">
        <f t="shared" si="22"/>
        <v>0</v>
      </c>
      <c r="P36" s="225">
        <f>SUM(P37:P38)</f>
        <v>58</v>
      </c>
      <c r="Q36" s="225">
        <v>125691701.15000001</v>
      </c>
      <c r="R36" s="226">
        <v>0.97579365132353302</v>
      </c>
      <c r="S36" s="225">
        <f>SUM(S37:S38)</f>
        <v>125691701.15000001</v>
      </c>
      <c r="T36" s="226">
        <f t="shared" si="16"/>
        <v>0.97579365132353302</v>
      </c>
      <c r="U36" s="226">
        <f t="shared" si="17"/>
        <v>0</v>
      </c>
      <c r="V36" s="226">
        <f t="shared" si="23"/>
        <v>0</v>
      </c>
      <c r="W36" s="225">
        <f>SUM(W37:W38)</f>
        <v>58</v>
      </c>
      <c r="X36" s="225">
        <v>125691701.15000001</v>
      </c>
      <c r="Y36" s="226">
        <v>0.97579365132353302</v>
      </c>
      <c r="Z36" s="225">
        <f>SUM(Z37:Z38)</f>
        <v>125691701.15000001</v>
      </c>
      <c r="AA36" s="226">
        <f t="shared" si="18"/>
        <v>0.97579365132353302</v>
      </c>
      <c r="AB36" s="226">
        <f t="shared" si="19"/>
        <v>0</v>
      </c>
      <c r="AC36" s="226">
        <f t="shared" si="1"/>
        <v>0</v>
      </c>
      <c r="AD36" s="225">
        <f>SUM(AD37:AD38)</f>
        <v>58</v>
      </c>
      <c r="AE36" s="225">
        <v>125691701.15000001</v>
      </c>
      <c r="AF36" s="226">
        <v>0.97579365132353302</v>
      </c>
      <c r="AG36" s="225">
        <f>SUM(AG37:AG38)</f>
        <v>125691701.15000001</v>
      </c>
      <c r="AH36" s="226">
        <f t="shared" si="20"/>
        <v>0.97579365132353302</v>
      </c>
      <c r="AI36" s="226">
        <f t="shared" si="21"/>
        <v>0</v>
      </c>
      <c r="AJ36" s="226">
        <f t="shared" si="3"/>
        <v>0</v>
      </c>
      <c r="AK36" s="225">
        <v>125691701.15000001</v>
      </c>
      <c r="AL36" s="226">
        <v>0.97579365132353302</v>
      </c>
    </row>
    <row r="37" spans="1:38" ht="21" customHeight="1" x14ac:dyDescent="0.3">
      <c r="A37" s="255" t="s">
        <v>251</v>
      </c>
      <c r="B37" s="256" t="str">
        <f>VLOOKUP(A37,saīsinājumi_LV_ENG!A:G,5,FALSE)</f>
        <v>IKT</v>
      </c>
      <c r="C37" s="12" t="s">
        <v>171</v>
      </c>
      <c r="D37" s="12"/>
      <c r="E37" s="40" t="str">
        <f>Pasākumu_līmenis!D31</f>
        <v>ERAF</v>
      </c>
      <c r="F37" s="40" t="str">
        <f>Pasākumu_līmenis!E28</f>
        <v>VARAM</v>
      </c>
      <c r="G37" s="279" t="str">
        <f>VLOOKUP(A37,'2. Intervences kategorijas - Pa'!B:D,2,FALSE)</f>
        <v>02 - Uzlabot piekļuvi informācijai un komunikācijas tehnoloģijām, to izmantošanu un kvalitāti</v>
      </c>
      <c r="H37" s="171">
        <f>Pasākumu_līmenis!F28</f>
        <v>118694714</v>
      </c>
      <c r="I37" s="171">
        <f>Pasākumu_līmenis!G28</f>
        <v>0</v>
      </c>
      <c r="J37" s="171">
        <f>Pasākumu_līmenis!H28</f>
        <v>118694714</v>
      </c>
      <c r="K37" s="171">
        <f>Pasākumu_līmenis!I28</f>
        <v>7856779.6605614899</v>
      </c>
      <c r="L37" s="171">
        <f>Pasākumu_līmenis!J28</f>
        <v>115807330.93000001</v>
      </c>
      <c r="M37" s="172">
        <f t="shared" si="14"/>
        <v>0.97567386977317294</v>
      </c>
      <c r="N37" s="172">
        <f t="shared" si="15"/>
        <v>0</v>
      </c>
      <c r="O37" s="172">
        <f t="shared" si="22"/>
        <v>0</v>
      </c>
      <c r="P37" s="171">
        <f>Pasākumu_līmenis!N28</f>
        <v>56</v>
      </c>
      <c r="Q37" s="171">
        <v>115807330.93000001</v>
      </c>
      <c r="R37" s="172">
        <v>0.97567386977317294</v>
      </c>
      <c r="S37" s="171">
        <f>Pasākumu_līmenis!Q28</f>
        <v>115807330.93000001</v>
      </c>
      <c r="T37" s="172">
        <f t="shared" si="16"/>
        <v>0.97567386977317294</v>
      </c>
      <c r="U37" s="172">
        <f t="shared" si="17"/>
        <v>0</v>
      </c>
      <c r="V37" s="172">
        <f t="shared" si="23"/>
        <v>0</v>
      </c>
      <c r="W37" s="171">
        <f>Pasākumu_līmenis!U28</f>
        <v>56</v>
      </c>
      <c r="X37" s="171">
        <v>115807330.93000001</v>
      </c>
      <c r="Y37" s="172">
        <v>0.97567386977317294</v>
      </c>
      <c r="Z37" s="171">
        <f>Pasākumu_līmenis!X28</f>
        <v>115807330.93000001</v>
      </c>
      <c r="AA37" s="172">
        <f t="shared" si="18"/>
        <v>0.97567386977317294</v>
      </c>
      <c r="AB37" s="172">
        <f t="shared" si="19"/>
        <v>0</v>
      </c>
      <c r="AC37" s="172">
        <f t="shared" si="1"/>
        <v>0</v>
      </c>
      <c r="AD37" s="171">
        <f>Pasākumu_līmenis!AB28</f>
        <v>56</v>
      </c>
      <c r="AE37" s="171">
        <v>115807330.93000001</v>
      </c>
      <c r="AF37" s="172">
        <v>0.97567386977317294</v>
      </c>
      <c r="AG37" s="171">
        <f>Pasākumu_līmenis!AE28</f>
        <v>115807330.93000001</v>
      </c>
      <c r="AH37" s="172">
        <f t="shared" si="20"/>
        <v>0.97567386977317294</v>
      </c>
      <c r="AI37" s="172">
        <f t="shared" si="21"/>
        <v>0</v>
      </c>
      <c r="AJ37" s="172">
        <f t="shared" si="3"/>
        <v>0</v>
      </c>
      <c r="AK37" s="171">
        <v>115807330.93000001</v>
      </c>
      <c r="AL37" s="172">
        <v>0.97567386977317294</v>
      </c>
    </row>
    <row r="38" spans="1:38" ht="21" customHeight="1" x14ac:dyDescent="0.3">
      <c r="A38" s="255" t="s">
        <v>252</v>
      </c>
      <c r="B38" s="256" t="str">
        <f>VLOOKUP(A38,saīsinājumi_LV_ENG!A:G,5,FALSE)</f>
        <v>Kultūras mantojuma digitalizācija</v>
      </c>
      <c r="C38" s="12" t="s">
        <v>172</v>
      </c>
      <c r="D38" s="12"/>
      <c r="E38" s="40" t="str">
        <f>Pasākumu_līmenis!D32</f>
        <v>ERAF</v>
      </c>
      <c r="F38" s="40" t="str">
        <f>Pasākumu_līmenis!E29</f>
        <v>VARAM</v>
      </c>
      <c r="G38" s="279" t="str">
        <f>VLOOKUP(A38,'2. Intervences kategorijas - Pa'!B:D,2,FALSE)</f>
        <v>02 - Uzlabot piekļuvi informācijai un komunikācijas tehnoloģijām, to izmantošanu un kvalitāti</v>
      </c>
      <c r="H38" s="171">
        <f>Pasākumu_līmenis!F29</f>
        <v>10115000</v>
      </c>
      <c r="I38" s="171">
        <f>Pasākumu_līmenis!G29</f>
        <v>0</v>
      </c>
      <c r="J38" s="171">
        <f>Pasākumu_līmenis!H29</f>
        <v>10115000</v>
      </c>
      <c r="K38" s="171">
        <f>Pasākumu_līmenis!I29</f>
        <v>0</v>
      </c>
      <c r="L38" s="171">
        <f>Pasākumu_līmenis!J29</f>
        <v>9884370.2200000007</v>
      </c>
      <c r="M38" s="172">
        <f t="shared" si="14"/>
        <v>0.97719923084527938</v>
      </c>
      <c r="N38" s="172">
        <f t="shared" si="15"/>
        <v>0</v>
      </c>
      <c r="O38" s="172">
        <f t="shared" si="22"/>
        <v>0</v>
      </c>
      <c r="P38" s="171">
        <f>Pasākumu_līmenis!N29</f>
        <v>2</v>
      </c>
      <c r="Q38" s="171">
        <v>9884370.2200000007</v>
      </c>
      <c r="R38" s="172">
        <v>0.97719923084527938</v>
      </c>
      <c r="S38" s="171">
        <f>Pasākumu_līmenis!Q29</f>
        <v>9884370.2200000007</v>
      </c>
      <c r="T38" s="172">
        <f t="shared" si="16"/>
        <v>0.97719923084527938</v>
      </c>
      <c r="U38" s="172">
        <f t="shared" si="17"/>
        <v>0</v>
      </c>
      <c r="V38" s="172">
        <f t="shared" si="23"/>
        <v>0</v>
      </c>
      <c r="W38" s="171">
        <f>Pasākumu_līmenis!U29</f>
        <v>2</v>
      </c>
      <c r="X38" s="171">
        <v>9884370.2200000007</v>
      </c>
      <c r="Y38" s="172">
        <v>0.97719923084527938</v>
      </c>
      <c r="Z38" s="171">
        <f>Pasākumu_līmenis!X29</f>
        <v>9884370.2200000007</v>
      </c>
      <c r="AA38" s="172">
        <f t="shared" si="18"/>
        <v>0.97719923084527938</v>
      </c>
      <c r="AB38" s="172">
        <f t="shared" si="19"/>
        <v>0</v>
      </c>
      <c r="AC38" s="172">
        <f t="shared" si="1"/>
        <v>0</v>
      </c>
      <c r="AD38" s="171">
        <f>Pasākumu_līmenis!AB29</f>
        <v>2</v>
      </c>
      <c r="AE38" s="171">
        <v>9884370.2200000007</v>
      </c>
      <c r="AF38" s="172">
        <v>0.97719923084527938</v>
      </c>
      <c r="AG38" s="171">
        <f>Pasākumu_līmenis!AE29</f>
        <v>9884370.2200000007</v>
      </c>
      <c r="AH38" s="172">
        <f t="shared" si="20"/>
        <v>0.97719923084527938</v>
      </c>
      <c r="AI38" s="172">
        <f t="shared" si="21"/>
        <v>0</v>
      </c>
      <c r="AJ38" s="172">
        <f t="shared" si="3"/>
        <v>0</v>
      </c>
      <c r="AK38" s="171">
        <v>9884370.2200000007</v>
      </c>
      <c r="AL38" s="172">
        <v>0.97719923084527938</v>
      </c>
    </row>
    <row r="39" spans="1:38" ht="21" customHeight="1" x14ac:dyDescent="0.3">
      <c r="A39" s="249" t="s">
        <v>18</v>
      </c>
      <c r="B39" s="250" t="str">
        <f>VLOOKUP(A39,saīsinājumi_LV_ENG!A:G,5,FALSE)</f>
        <v>MVK konkurētspēja</v>
      </c>
      <c r="C39" s="10" t="s">
        <v>19</v>
      </c>
      <c r="D39" s="227"/>
      <c r="E39" s="68"/>
      <c r="F39" s="68"/>
      <c r="G39" s="281"/>
      <c r="H39" s="228">
        <f>H40+H52+H56+H58</f>
        <v>370305153</v>
      </c>
      <c r="I39" s="228">
        <f>I40+I52+I56+I58</f>
        <v>290005</v>
      </c>
      <c r="J39" s="228">
        <f>J40+J52+J56+J58</f>
        <v>370595158</v>
      </c>
      <c r="K39" s="228">
        <f>K40+K52+K56+K58</f>
        <v>16979226.728510205</v>
      </c>
      <c r="L39" s="228">
        <f>L40+L52+L56+L58</f>
        <v>354668642.69</v>
      </c>
      <c r="M39" s="229">
        <f t="shared" si="14"/>
        <v>0.95777398671522129</v>
      </c>
      <c r="N39" s="229">
        <f t="shared" si="15"/>
        <v>0</v>
      </c>
      <c r="O39" s="229">
        <f t="shared" si="22"/>
        <v>0</v>
      </c>
      <c r="P39" s="228">
        <f>P40+P52+P56+P58</f>
        <v>178</v>
      </c>
      <c r="Q39" s="177">
        <v>354668642.69</v>
      </c>
      <c r="R39" s="178">
        <v>0.95777398671522129</v>
      </c>
      <c r="S39" s="228">
        <f>S40+S52+S56+S58</f>
        <v>354668642.69</v>
      </c>
      <c r="T39" s="229">
        <f t="shared" si="16"/>
        <v>0.95777398671522129</v>
      </c>
      <c r="U39" s="229">
        <f t="shared" si="17"/>
        <v>0</v>
      </c>
      <c r="V39" s="229">
        <f t="shared" si="23"/>
        <v>0</v>
      </c>
      <c r="W39" s="228">
        <f>W40+W52+W56+W58</f>
        <v>178</v>
      </c>
      <c r="X39" s="228">
        <v>354668642.69</v>
      </c>
      <c r="Y39" s="229">
        <v>0.95777398671522129</v>
      </c>
      <c r="Z39" s="228">
        <f>Z40+Z52+Z56+Z58</f>
        <v>354668642.69</v>
      </c>
      <c r="AA39" s="229">
        <f t="shared" si="18"/>
        <v>0.95777398671522129</v>
      </c>
      <c r="AB39" s="229">
        <f t="shared" si="19"/>
        <v>0</v>
      </c>
      <c r="AC39" s="229">
        <f t="shared" si="1"/>
        <v>0</v>
      </c>
      <c r="AD39" s="228">
        <f>AD40+AD52+AD56+AD58</f>
        <v>178</v>
      </c>
      <c r="AE39" s="177">
        <v>354668642.69</v>
      </c>
      <c r="AF39" s="178">
        <v>0.95777398671522129</v>
      </c>
      <c r="AG39" s="228">
        <f>AG40+AG52+AG56+AG58</f>
        <v>347456641.94999999</v>
      </c>
      <c r="AH39" s="229">
        <f t="shared" si="20"/>
        <v>0.93829815527843863</v>
      </c>
      <c r="AI39" s="229">
        <f t="shared" si="21"/>
        <v>0</v>
      </c>
      <c r="AJ39" s="229">
        <f t="shared" si="3"/>
        <v>0</v>
      </c>
      <c r="AK39" s="228">
        <v>347456641.94999999</v>
      </c>
      <c r="AL39" s="229">
        <v>0.93829815527843863</v>
      </c>
    </row>
    <row r="40" spans="1:38" ht="21" customHeight="1" x14ac:dyDescent="0.3">
      <c r="A40" s="251" t="s">
        <v>20</v>
      </c>
      <c r="B40" s="252" t="str">
        <f>VLOOKUP(A40,saīsinājumi_LV_ENG!A:G,5,FALSE)</f>
        <v>Uzņēmējdarbības veicināšana</v>
      </c>
      <c r="C40" s="217" t="s">
        <v>21</v>
      </c>
      <c r="D40" s="218" t="str">
        <f ca="1">IFERROR(IF((VLOOKUP(A40,Pasākumu_līmenis!A:H,3,0))=0,"",VLOOKUP(A40,Pasākumu_līmenis!A:H,3,0)),"")</f>
        <v/>
      </c>
      <c r="E40" s="219"/>
      <c r="F40" s="219"/>
      <c r="G40" s="277"/>
      <c r="H40" s="220">
        <f>H41+H49</f>
        <v>208314350</v>
      </c>
      <c r="I40" s="220">
        <f>I41+I49</f>
        <v>0</v>
      </c>
      <c r="J40" s="220">
        <f>J41+J49</f>
        <v>208314350</v>
      </c>
      <c r="K40" s="220">
        <f>K41+K49</f>
        <v>8735029</v>
      </c>
      <c r="L40" s="220">
        <f>L41+L49</f>
        <v>196373377.69999999</v>
      </c>
      <c r="M40" s="221">
        <f t="shared" si="14"/>
        <v>0.94267810978936395</v>
      </c>
      <c r="N40" s="221">
        <f t="shared" si="15"/>
        <v>0</v>
      </c>
      <c r="O40" s="221">
        <f t="shared" si="22"/>
        <v>0</v>
      </c>
      <c r="P40" s="220">
        <f>P41+P49</f>
        <v>54</v>
      </c>
      <c r="Q40" s="220">
        <v>196373377.69999999</v>
      </c>
      <c r="R40" s="221">
        <v>0.94267810978936395</v>
      </c>
      <c r="S40" s="220">
        <f>S41+S49</f>
        <v>196373377.69999999</v>
      </c>
      <c r="T40" s="221">
        <f t="shared" si="16"/>
        <v>0.94267810978936395</v>
      </c>
      <c r="U40" s="221">
        <f t="shared" si="17"/>
        <v>0</v>
      </c>
      <c r="V40" s="221">
        <f t="shared" si="23"/>
        <v>0</v>
      </c>
      <c r="W40" s="220">
        <f>W41+W49</f>
        <v>54</v>
      </c>
      <c r="X40" s="220">
        <v>196373377.69999999</v>
      </c>
      <c r="Y40" s="221">
        <v>0.94267810978936395</v>
      </c>
      <c r="Z40" s="220">
        <f>Z41+Z49</f>
        <v>196373377.69999999</v>
      </c>
      <c r="AA40" s="221">
        <f t="shared" si="18"/>
        <v>0.94267810978936395</v>
      </c>
      <c r="AB40" s="221">
        <f t="shared" si="19"/>
        <v>0</v>
      </c>
      <c r="AC40" s="221">
        <f t="shared" si="1"/>
        <v>0</v>
      </c>
      <c r="AD40" s="220">
        <f>AD41+AD49</f>
        <v>54</v>
      </c>
      <c r="AE40" s="220">
        <v>196373377.69999999</v>
      </c>
      <c r="AF40" s="221">
        <v>0.94267810978936395</v>
      </c>
      <c r="AG40" s="220">
        <f>AG41+AG49</f>
        <v>193173171.92000002</v>
      </c>
      <c r="AH40" s="221">
        <f t="shared" si="20"/>
        <v>0.92731572222460923</v>
      </c>
      <c r="AI40" s="221">
        <f t="shared" si="21"/>
        <v>0</v>
      </c>
      <c r="AJ40" s="221">
        <f t="shared" si="3"/>
        <v>0</v>
      </c>
      <c r="AK40" s="220">
        <v>193173171.92000002</v>
      </c>
      <c r="AL40" s="221">
        <v>0.92731572222460923</v>
      </c>
    </row>
    <row r="41" spans="1:38" ht="21" customHeight="1" x14ac:dyDescent="0.3">
      <c r="A41" s="253" t="s">
        <v>432</v>
      </c>
      <c r="B41" s="254" t="str">
        <f>VLOOKUP(A41,saīsinājumi_LV_ENG!A:G,5,FALSE)</f>
        <v>MVK izveide un attīstība</v>
      </c>
      <c r="C41" s="222" t="s">
        <v>37</v>
      </c>
      <c r="D41" s="223" t="str">
        <f ca="1">IFERROR(IF((VLOOKUP(A41,Pasākumu_līmenis!A:H,3,0))=0,"",VLOOKUP(A41,Pasākumu_līmenis!A:H,3,0)),"")</f>
        <v/>
      </c>
      <c r="E41" s="224"/>
      <c r="F41" s="224"/>
      <c r="G41" s="278"/>
      <c r="H41" s="225">
        <f>SUM(H42:H48)</f>
        <v>163114350</v>
      </c>
      <c r="I41" s="225">
        <f>SUM(I42:I48)</f>
        <v>0</v>
      </c>
      <c r="J41" s="225">
        <f>SUM(J42:J48)</f>
        <v>163114350</v>
      </c>
      <c r="K41" s="225">
        <f>SUM(K42:K47)</f>
        <v>8735029</v>
      </c>
      <c r="L41" s="225">
        <f>SUM(L42:L48)</f>
        <v>151185851.61379412</v>
      </c>
      <c r="M41" s="226">
        <f t="shared" si="14"/>
        <v>0.92687033123568907</v>
      </c>
      <c r="N41" s="226">
        <f t="shared" si="15"/>
        <v>0</v>
      </c>
      <c r="O41" s="226">
        <f t="shared" si="22"/>
        <v>0</v>
      </c>
      <c r="P41" s="225">
        <f>SUM(P42:P48)</f>
        <v>53</v>
      </c>
      <c r="Q41" s="225">
        <v>151185851.61379412</v>
      </c>
      <c r="R41" s="226">
        <v>0.92687033123568907</v>
      </c>
      <c r="S41" s="225">
        <f>SUM(S42:S48)</f>
        <v>151185851.61379412</v>
      </c>
      <c r="T41" s="226">
        <f t="shared" si="16"/>
        <v>0.92687033123568907</v>
      </c>
      <c r="U41" s="226">
        <f t="shared" si="17"/>
        <v>0</v>
      </c>
      <c r="V41" s="226">
        <f t="shared" si="23"/>
        <v>0</v>
      </c>
      <c r="W41" s="225">
        <f>SUM(W42:W48)</f>
        <v>53</v>
      </c>
      <c r="X41" s="225">
        <v>151185851.61379412</v>
      </c>
      <c r="Y41" s="226">
        <v>0.92687033123568907</v>
      </c>
      <c r="Z41" s="225">
        <f>SUM(Z42:Z48)</f>
        <v>151185851.61379412</v>
      </c>
      <c r="AA41" s="226">
        <f t="shared" si="18"/>
        <v>0.92687033123568907</v>
      </c>
      <c r="AB41" s="226">
        <f t="shared" si="19"/>
        <v>0</v>
      </c>
      <c r="AC41" s="226">
        <f t="shared" si="1"/>
        <v>0</v>
      </c>
      <c r="AD41" s="225">
        <f>SUM(AD42:AD48)</f>
        <v>53</v>
      </c>
      <c r="AE41" s="225">
        <v>151185851.61379412</v>
      </c>
      <c r="AF41" s="226">
        <v>0.92687033123568907</v>
      </c>
      <c r="AG41" s="225">
        <f>SUM(AG42:AG48)</f>
        <v>148561688.81529412</v>
      </c>
      <c r="AH41" s="226">
        <f t="shared" si="20"/>
        <v>0.91078245914779488</v>
      </c>
      <c r="AI41" s="226">
        <f t="shared" si="21"/>
        <v>0</v>
      </c>
      <c r="AJ41" s="226">
        <f t="shared" si="3"/>
        <v>0</v>
      </c>
      <c r="AK41" s="225">
        <v>148561688.81529412</v>
      </c>
      <c r="AL41" s="226">
        <v>0.91078245914779488</v>
      </c>
    </row>
    <row r="42" spans="1:38" ht="21" customHeight="1" x14ac:dyDescent="0.3">
      <c r="A42" s="255" t="s">
        <v>254</v>
      </c>
      <c r="B42" s="256" t="str">
        <f>VLOOKUP(A42,saīsinājumi_LV_ENG!A:G,5,FALSE)</f>
        <v>Aizdevumu garantijas</v>
      </c>
      <c r="C42" s="12" t="s">
        <v>173</v>
      </c>
      <c r="D42" s="44">
        <f ca="1">IFERROR(IF((VLOOKUP(A42,Pasākumu_līmenis!A:H,3,0))=0,"",VLOOKUP(A42,Pasākumu_līmenis!A:H,3,0)),"")</f>
        <v>2</v>
      </c>
      <c r="E42" s="40" t="str">
        <f>Pasākumu_līmenis!D31</f>
        <v>ERAF</v>
      </c>
      <c r="F42" s="40" t="str">
        <f>Pasākumu_līmenis!E31</f>
        <v>EM</v>
      </c>
      <c r="G42" s="279" t="str">
        <f>VLOOKUP(A42,'2. Intervences kategorijas - Pa'!B:D,2,FALSE)</f>
        <v>03 - Uzlabot mazo un vidējo uzņēmumu (MVU) konkurētspēju</v>
      </c>
      <c r="H42" s="171">
        <f>Pasākumu_līmenis!F31</f>
        <v>43800000</v>
      </c>
      <c r="I42" s="171">
        <f>Pasākumu_līmenis!G31</f>
        <v>0</v>
      </c>
      <c r="J42" s="171">
        <f>Pasākumu_līmenis!H31</f>
        <v>43800000</v>
      </c>
      <c r="K42" s="171">
        <f>Pasākumu_līmenis!I31</f>
        <v>6510677</v>
      </c>
      <c r="L42" s="171">
        <f>Pasākumu_līmenis!J31</f>
        <v>43787912.446367651</v>
      </c>
      <c r="M42" s="172">
        <f t="shared" si="14"/>
        <v>0.99972402845588249</v>
      </c>
      <c r="N42" s="172">
        <f t="shared" si="15"/>
        <v>0</v>
      </c>
      <c r="O42" s="172">
        <f>IFERROR(((L42-Q42)/Q42),0)</f>
        <v>0</v>
      </c>
      <c r="P42" s="171">
        <f>Pasākumu_līmenis!N31</f>
        <v>0</v>
      </c>
      <c r="Q42" s="171">
        <v>43787912.446367651</v>
      </c>
      <c r="R42" s="172">
        <v>0.99972402845588249</v>
      </c>
      <c r="S42" s="171">
        <f>Pasākumu_līmenis!Q31</f>
        <v>43787912.446367651</v>
      </c>
      <c r="T42" s="172">
        <f t="shared" si="16"/>
        <v>0.99972402845588249</v>
      </c>
      <c r="U42" s="172">
        <f t="shared" si="17"/>
        <v>0</v>
      </c>
      <c r="V42" s="172">
        <f t="shared" si="23"/>
        <v>0</v>
      </c>
      <c r="W42" s="171">
        <f>Pasākumu_līmenis!U31</f>
        <v>0</v>
      </c>
      <c r="X42" s="171">
        <v>43787912.446367651</v>
      </c>
      <c r="Y42" s="172">
        <v>0.99972402845588249</v>
      </c>
      <c r="Z42" s="171">
        <f>Pasākumu_līmenis!X31</f>
        <v>43787912.446367651</v>
      </c>
      <c r="AA42" s="172">
        <f t="shared" si="18"/>
        <v>0.99972402845588249</v>
      </c>
      <c r="AB42" s="172">
        <f t="shared" si="19"/>
        <v>0</v>
      </c>
      <c r="AC42" s="172">
        <f t="shared" si="1"/>
        <v>0</v>
      </c>
      <c r="AD42" s="171">
        <f>Pasākumu_līmenis!AB31</f>
        <v>0</v>
      </c>
      <c r="AE42" s="171">
        <v>43787912.446367651</v>
      </c>
      <c r="AF42" s="172">
        <v>0.99972402845588249</v>
      </c>
      <c r="AG42" s="171">
        <f>Pasākumu_līmenis!AE31</f>
        <v>43229711.504117653</v>
      </c>
      <c r="AH42" s="172">
        <f t="shared" si="20"/>
        <v>0.98697971470588253</v>
      </c>
      <c r="AI42" s="172">
        <f t="shared" si="21"/>
        <v>0</v>
      </c>
      <c r="AJ42" s="172">
        <f t="shared" si="3"/>
        <v>0</v>
      </c>
      <c r="AK42" s="171">
        <v>43229711.504117653</v>
      </c>
      <c r="AL42" s="172">
        <v>0.98697971470588253</v>
      </c>
    </row>
    <row r="43" spans="1:38" ht="21" customHeight="1" x14ac:dyDescent="0.3">
      <c r="A43" s="255" t="s">
        <v>255</v>
      </c>
      <c r="B43" s="256" t="str">
        <f>VLOOKUP(A43,saīsinājumi_LV_ENG!A:G,5,FALSE)</f>
        <v>Mezanīna aizdevumi</v>
      </c>
      <c r="C43" s="12" t="s">
        <v>174</v>
      </c>
      <c r="D43" s="44">
        <f ca="1">IFERROR(IF((VLOOKUP(A43,Pasākumu_līmenis!A:H,3,0))=0,"",VLOOKUP(A43,Pasākumu_līmenis!A:H,3,0)),"")</f>
        <v>2</v>
      </c>
      <c r="E43" s="40" t="str">
        <f>Pasākumu_līmenis!D32</f>
        <v>ERAF</v>
      </c>
      <c r="F43" s="40" t="str">
        <f>Pasākumu_līmenis!E32</f>
        <v>EM</v>
      </c>
      <c r="G43" s="279" t="str">
        <f>VLOOKUP(A43,'2. Intervences kategorijas - Pa'!B:D,2,FALSE)</f>
        <v>03 - Uzlabot mazo un vidējo uzņēmumu (MVU) konkurētspēju</v>
      </c>
      <c r="H43" s="171">
        <f>Pasākumu_līmenis!F32</f>
        <v>7000000</v>
      </c>
      <c r="I43" s="171">
        <f>Pasākumu_līmenis!G32</f>
        <v>0</v>
      </c>
      <c r="J43" s="171">
        <f>Pasākumu_līmenis!H32</f>
        <v>7000000</v>
      </c>
      <c r="K43" s="171">
        <f>Pasākumu_līmenis!I32</f>
        <v>0</v>
      </c>
      <c r="L43" s="171">
        <f>Pasākumu_līmenis!J32</f>
        <v>6998068.1991911763</v>
      </c>
      <c r="M43" s="172">
        <f t="shared" si="14"/>
        <v>0.99972402845588237</v>
      </c>
      <c r="N43" s="172">
        <f>M43-R43</f>
        <v>0</v>
      </c>
      <c r="O43" s="172">
        <f>IFERROR(((L43-Q43)/Q43),0)</f>
        <v>0</v>
      </c>
      <c r="P43" s="171">
        <f>Pasākumu_līmenis!N32</f>
        <v>0</v>
      </c>
      <c r="Q43" s="171">
        <v>6998068.1991911763</v>
      </c>
      <c r="R43" s="172">
        <v>0.99972402845588237</v>
      </c>
      <c r="S43" s="171">
        <f>Pasākumu_līmenis!Q32</f>
        <v>6998068.1991911763</v>
      </c>
      <c r="T43" s="172">
        <f t="shared" si="16"/>
        <v>0.99972402845588237</v>
      </c>
      <c r="U43" s="172">
        <f t="shared" si="17"/>
        <v>0</v>
      </c>
      <c r="V43" s="172">
        <f t="shared" si="23"/>
        <v>0</v>
      </c>
      <c r="W43" s="171">
        <f>Pasākumu_līmenis!U32</f>
        <v>0</v>
      </c>
      <c r="X43" s="171">
        <v>6998068.1991911763</v>
      </c>
      <c r="Y43" s="172">
        <v>0.99972402845588237</v>
      </c>
      <c r="Z43" s="171">
        <f>Pasākumu_līmenis!X32</f>
        <v>6998068.1991911763</v>
      </c>
      <c r="AA43" s="172">
        <f t="shared" si="18"/>
        <v>0.99972402845588237</v>
      </c>
      <c r="AB43" s="172">
        <f t="shared" si="19"/>
        <v>0</v>
      </c>
      <c r="AC43" s="172">
        <f t="shared" si="1"/>
        <v>0</v>
      </c>
      <c r="AD43" s="171">
        <f>Pasākumu_līmenis!AB32</f>
        <v>0</v>
      </c>
      <c r="AE43" s="171">
        <v>6998068.1991911763</v>
      </c>
      <c r="AF43" s="172">
        <v>0.99972402845588237</v>
      </c>
      <c r="AG43" s="171">
        <f>Pasākumu_līmenis!AE32</f>
        <v>6908858.0029411772</v>
      </c>
      <c r="AH43" s="172">
        <f t="shared" si="20"/>
        <v>0.98697971470588242</v>
      </c>
      <c r="AI43" s="172">
        <f t="shared" si="21"/>
        <v>0</v>
      </c>
      <c r="AJ43" s="172">
        <f t="shared" si="3"/>
        <v>0</v>
      </c>
      <c r="AK43" s="171">
        <v>6908858.0029411772</v>
      </c>
      <c r="AL43" s="172">
        <v>0.98697971470588242</v>
      </c>
    </row>
    <row r="44" spans="1:38" ht="39.75" customHeight="1" x14ac:dyDescent="0.3">
      <c r="A44" s="255" t="s">
        <v>256</v>
      </c>
      <c r="B44" s="256" t="str">
        <f>VLOOKUP(A44,saīsinājumi_LV_ENG!A:G,5,FALSE)</f>
        <v>Atbalsts MVK finansējuma piesaistei kapitāla tirgos</v>
      </c>
      <c r="C44" s="12" t="s">
        <v>175</v>
      </c>
      <c r="D44" s="44" t="str">
        <f ca="1">IFERROR(IF((VLOOKUP(A44,Pasākumu_līmenis!A:H,3,0))=0,"",VLOOKUP(A44,Pasākumu_līmenis!A:H,3,0)),"")</f>
        <v/>
      </c>
      <c r="E44" s="40" t="str">
        <f>Pasākumu_līmenis!D33</f>
        <v>ERAF</v>
      </c>
      <c r="F44" s="40" t="str">
        <f>Pasākumu_līmenis!E33</f>
        <v>EM</v>
      </c>
      <c r="G44" s="279" t="str">
        <f>VLOOKUP(A44,'2. Intervences kategorijas - Pa'!B:D,2,FALSE)</f>
        <v>03 - Uzlabot mazo un vidējo uzņēmumu (MVU) konkurētspēju</v>
      </c>
      <c r="H44" s="171">
        <f>Pasākumu_līmenis!F33</f>
        <v>1000000</v>
      </c>
      <c r="I44" s="171">
        <f>Pasākumu_līmenis!G33</f>
        <v>0</v>
      </c>
      <c r="J44" s="171">
        <f>Pasākumu_līmenis!H33</f>
        <v>1000000</v>
      </c>
      <c r="K44" s="171">
        <v>0</v>
      </c>
      <c r="L44" s="171">
        <f>Pasākumu_līmenis!J33</f>
        <v>76800</v>
      </c>
      <c r="M44" s="172">
        <f t="shared" si="14"/>
        <v>7.6799999999999993E-2</v>
      </c>
      <c r="N44" s="172">
        <f>M44-R44</f>
        <v>0</v>
      </c>
      <c r="O44" s="172">
        <f>IFERROR(((L44-Q44)/Q44),0)</f>
        <v>0</v>
      </c>
      <c r="P44" s="171">
        <f>Pasākumu_līmenis!N33</f>
        <v>1</v>
      </c>
      <c r="Q44" s="171">
        <v>76800</v>
      </c>
      <c r="R44" s="172">
        <v>7.6799999999999993E-2</v>
      </c>
      <c r="S44" s="171">
        <f>Pasākumu_līmenis!Q33</f>
        <v>76800</v>
      </c>
      <c r="T44" s="172">
        <f t="shared" si="16"/>
        <v>7.6799999999999993E-2</v>
      </c>
      <c r="U44" s="172">
        <f>T44-Y44</f>
        <v>0</v>
      </c>
      <c r="V44" s="172">
        <f t="shared" si="23"/>
        <v>0</v>
      </c>
      <c r="W44" s="171">
        <f>Pasākumu_līmenis!U33</f>
        <v>1</v>
      </c>
      <c r="X44" s="171">
        <v>76800</v>
      </c>
      <c r="Y44" s="172">
        <v>7.6799999999999993E-2</v>
      </c>
      <c r="Z44" s="171">
        <f>Pasākumu_līmenis!X33</f>
        <v>76800</v>
      </c>
      <c r="AA44" s="172">
        <f t="shared" si="18"/>
        <v>7.6799999999999993E-2</v>
      </c>
      <c r="AB44" s="172">
        <f t="shared" si="19"/>
        <v>0</v>
      </c>
      <c r="AC44" s="172">
        <f t="shared" si="1"/>
        <v>0</v>
      </c>
      <c r="AD44" s="171">
        <f>Pasākumu_līmenis!AB33</f>
        <v>1</v>
      </c>
      <c r="AE44" s="171">
        <v>76800</v>
      </c>
      <c r="AF44" s="172">
        <v>7.6799999999999993E-2</v>
      </c>
      <c r="AG44" s="171">
        <f>Pasākumu_līmenis!AE33</f>
        <v>56200</v>
      </c>
      <c r="AH44" s="172">
        <f t="shared" si="20"/>
        <v>5.62E-2</v>
      </c>
      <c r="AI44" s="172">
        <f t="shared" si="21"/>
        <v>0</v>
      </c>
      <c r="AJ44" s="172">
        <f t="shared" si="3"/>
        <v>0</v>
      </c>
      <c r="AK44" s="171">
        <v>56200</v>
      </c>
      <c r="AL44" s="172">
        <v>5.62E-2</v>
      </c>
    </row>
    <row r="45" spans="1:38" ht="21" customHeight="1" x14ac:dyDescent="0.3">
      <c r="A45" s="255" t="s">
        <v>257</v>
      </c>
      <c r="B45" s="256" t="str">
        <f>VLOOKUP(A45,saīsinājumi_LV_ENG!A:G,5,FALSE)</f>
        <v>Mikrokredīti un starta aizdevumi</v>
      </c>
      <c r="C45" s="12" t="s">
        <v>176</v>
      </c>
      <c r="D45" s="44">
        <f ca="1">IFERROR(IF((VLOOKUP(A45,Pasākumu_līmenis!A:H,3,0))=0,"",VLOOKUP(A45,Pasākumu_līmenis!A:H,3,0)),"")</f>
        <v>2</v>
      </c>
      <c r="E45" s="40" t="str">
        <f>Pasākumu_līmenis!D34</f>
        <v>ERAF</v>
      </c>
      <c r="F45" s="40" t="str">
        <f>Pasākumu_līmenis!E34</f>
        <v>EM</v>
      </c>
      <c r="G45" s="279" t="str">
        <f>VLOOKUP(A45,'2. Intervences kategorijas - Pa'!B:D,2,FALSE)</f>
        <v>03 - Uzlabot mazo un vidējo uzņēmumu (MVU) konkurētspēju</v>
      </c>
      <c r="H45" s="171">
        <f>Pasākumu_līmenis!F34</f>
        <v>15000000</v>
      </c>
      <c r="I45" s="171">
        <f>Pasākumu_līmenis!G34</f>
        <v>0</v>
      </c>
      <c r="J45" s="171">
        <f>Pasākumu_līmenis!H34</f>
        <v>15000000</v>
      </c>
      <c r="K45" s="171">
        <f>Pasākumu_līmenis!I34</f>
        <v>0</v>
      </c>
      <c r="L45" s="171">
        <f>Pasākumu_līmenis!J34</f>
        <v>14995860.426838236</v>
      </c>
      <c r="M45" s="172">
        <f t="shared" si="14"/>
        <v>0.99972402845588237</v>
      </c>
      <c r="N45" s="172">
        <f t="shared" si="15"/>
        <v>0</v>
      </c>
      <c r="O45" s="172">
        <f t="shared" si="22"/>
        <v>0</v>
      </c>
      <c r="P45" s="171">
        <f>Pasākumu_līmenis!N34</f>
        <v>0</v>
      </c>
      <c r="Q45" s="171">
        <v>14995860.426838236</v>
      </c>
      <c r="R45" s="172">
        <v>0.99972402845588237</v>
      </c>
      <c r="S45" s="171">
        <f>Pasākumu_līmenis!Q34</f>
        <v>14995860.426838236</v>
      </c>
      <c r="T45" s="172">
        <f t="shared" si="16"/>
        <v>0.99972402845588237</v>
      </c>
      <c r="U45" s="172">
        <f t="shared" si="17"/>
        <v>0</v>
      </c>
      <c r="V45" s="172">
        <f t="shared" si="23"/>
        <v>0</v>
      </c>
      <c r="W45" s="171">
        <f>Pasākumu_līmenis!U34</f>
        <v>0</v>
      </c>
      <c r="X45" s="171">
        <v>14995860.426838236</v>
      </c>
      <c r="Y45" s="172">
        <v>0.99972402845588237</v>
      </c>
      <c r="Z45" s="171">
        <f>Pasākumu_līmenis!X34</f>
        <v>14995860.426838236</v>
      </c>
      <c r="AA45" s="172">
        <f t="shared" si="18"/>
        <v>0.99972402845588237</v>
      </c>
      <c r="AB45" s="172">
        <f t="shared" si="19"/>
        <v>0</v>
      </c>
      <c r="AC45" s="172">
        <f t="shared" si="1"/>
        <v>0</v>
      </c>
      <c r="AD45" s="171">
        <f>Pasākumu_līmenis!AB34</f>
        <v>0</v>
      </c>
      <c r="AE45" s="171">
        <v>14995860.426838236</v>
      </c>
      <c r="AF45" s="172">
        <v>0.99972402845588237</v>
      </c>
      <c r="AG45" s="171">
        <f>Pasākumu_līmenis!AE34</f>
        <v>14804695.720588237</v>
      </c>
      <c r="AH45" s="172">
        <f t="shared" si="20"/>
        <v>0.98697971470588242</v>
      </c>
      <c r="AI45" s="172">
        <f t="shared" si="21"/>
        <v>0</v>
      </c>
      <c r="AJ45" s="172">
        <f t="shared" si="3"/>
        <v>0</v>
      </c>
      <c r="AK45" s="171">
        <v>14804695.720588237</v>
      </c>
      <c r="AL45" s="172">
        <v>0.98697971470588242</v>
      </c>
    </row>
    <row r="46" spans="1:38" ht="21" customHeight="1" x14ac:dyDescent="0.3">
      <c r="A46" s="255" t="s">
        <v>258</v>
      </c>
      <c r="B46" s="256" t="str">
        <f>VLOOKUP(A46,saīsinājumi_LV_ENG!A:G,5,FALSE)</f>
        <v>Ražošanas telpas</v>
      </c>
      <c r="C46" s="12" t="s">
        <v>177</v>
      </c>
      <c r="D46" s="44"/>
      <c r="E46" s="40" t="str">
        <f>Pasākumu_līmenis!D35</f>
        <v>ERAF</v>
      </c>
      <c r="F46" s="40" t="str">
        <f>Pasākumu_līmenis!E35</f>
        <v>EM</v>
      </c>
      <c r="G46" s="279" t="str">
        <f>VLOOKUP(A46,'2. Intervences kategorijas - Pa'!B:D,2,FALSE)</f>
        <v>03 - Uzlabot mazo un vidējo uzņēmumu (MVU) konkurētspēju</v>
      </c>
      <c r="H46" s="171">
        <f>Pasākumu_līmenis!F35</f>
        <v>39549612</v>
      </c>
      <c r="I46" s="171">
        <f>Pasākumu_līmenis!G35</f>
        <v>0</v>
      </c>
      <c r="J46" s="171">
        <f>Pasākumu_līmenis!H35</f>
        <v>39549612</v>
      </c>
      <c r="K46" s="171">
        <f>Pasākumu_līmenis!I35</f>
        <v>532852</v>
      </c>
      <c r="L46" s="171">
        <f>Pasākumu_līmenis!J35</f>
        <v>31580340.609999999</v>
      </c>
      <c r="M46" s="172">
        <f t="shared" si="14"/>
        <v>0.79849937870439791</v>
      </c>
      <c r="N46" s="172">
        <f t="shared" si="15"/>
        <v>0</v>
      </c>
      <c r="O46" s="172">
        <f t="shared" si="22"/>
        <v>0</v>
      </c>
      <c r="P46" s="171">
        <f>Pasākumu_līmenis!N35</f>
        <v>51</v>
      </c>
      <c r="Q46" s="171">
        <v>31580340.609999999</v>
      </c>
      <c r="R46" s="172">
        <v>0.79849937870439791</v>
      </c>
      <c r="S46" s="171">
        <f>Pasākumu_līmenis!Q35</f>
        <v>31580340.609999999</v>
      </c>
      <c r="T46" s="172">
        <f t="shared" si="16"/>
        <v>0.79849937870439791</v>
      </c>
      <c r="U46" s="172">
        <f t="shared" si="17"/>
        <v>0</v>
      </c>
      <c r="V46" s="172">
        <f t="shared" si="23"/>
        <v>0</v>
      </c>
      <c r="W46" s="171">
        <f>Pasākumu_līmenis!U35</f>
        <v>51</v>
      </c>
      <c r="X46" s="171">
        <v>31580340.609999999</v>
      </c>
      <c r="Y46" s="172">
        <v>0.79849937870439791</v>
      </c>
      <c r="Z46" s="171">
        <f>Pasākumu_līmenis!X35</f>
        <v>31580340.609999999</v>
      </c>
      <c r="AA46" s="172">
        <f t="shared" si="18"/>
        <v>0.79849937870439791</v>
      </c>
      <c r="AB46" s="172">
        <f t="shared" si="19"/>
        <v>0</v>
      </c>
      <c r="AC46" s="172">
        <f t="shared" si="1"/>
        <v>0</v>
      </c>
      <c r="AD46" s="171">
        <f>Pasākumu_līmenis!AB35</f>
        <v>51</v>
      </c>
      <c r="AE46" s="171">
        <v>31580340.609999999</v>
      </c>
      <c r="AF46" s="172">
        <v>0.79849937870439791</v>
      </c>
      <c r="AG46" s="171">
        <f>Pasākumu_līmenis!AE35</f>
        <v>29792032.300000001</v>
      </c>
      <c r="AH46" s="172">
        <f t="shared" si="20"/>
        <v>0.75328254294884112</v>
      </c>
      <c r="AI46" s="172">
        <f t="shared" si="21"/>
        <v>0</v>
      </c>
      <c r="AJ46" s="172">
        <f t="shared" si="3"/>
        <v>0</v>
      </c>
      <c r="AK46" s="171">
        <v>29792032.300000001</v>
      </c>
      <c r="AL46" s="172">
        <v>0.75328254294884112</v>
      </c>
    </row>
    <row r="47" spans="1:38" ht="21" customHeight="1" x14ac:dyDescent="0.3">
      <c r="A47" s="255" t="s">
        <v>259</v>
      </c>
      <c r="B47" s="256" t="str">
        <f>VLOOKUP(A47,saīsinājumi_LV_ENG!A:G,5,FALSE)</f>
        <v>Biznesa inkubatori</v>
      </c>
      <c r="C47" s="12" t="s">
        <v>178</v>
      </c>
      <c r="D47" s="44"/>
      <c r="E47" s="40" t="str">
        <f>Pasākumu_līmenis!D36</f>
        <v>ERAF</v>
      </c>
      <c r="F47" s="40" t="str">
        <f>Pasākumu_līmenis!E36</f>
        <v>EM</v>
      </c>
      <c r="G47" s="279" t="str">
        <f>VLOOKUP(A47,'2. Intervences kategorijas - Pa'!B:D,2,FALSE)</f>
        <v>03 - Uzlabot mazo un vidējo uzņēmumu (MVU) konkurētspēju</v>
      </c>
      <c r="H47" s="171">
        <f>Pasākumu_līmenis!F36</f>
        <v>31764738</v>
      </c>
      <c r="I47" s="171">
        <f>Pasākumu_līmenis!G36</f>
        <v>0</v>
      </c>
      <c r="J47" s="171">
        <f>Pasākumu_līmenis!H36</f>
        <v>31764738</v>
      </c>
      <c r="K47" s="171">
        <f>Pasākumu_līmenis!I36</f>
        <v>1691500</v>
      </c>
      <c r="L47" s="171">
        <f>Pasākumu_līmenis!J36</f>
        <v>28753769.219999999</v>
      </c>
      <c r="M47" s="172">
        <f t="shared" si="14"/>
        <v>0.90521033795399164</v>
      </c>
      <c r="N47" s="172">
        <f t="shared" si="15"/>
        <v>0</v>
      </c>
      <c r="O47" s="172">
        <f t="shared" si="22"/>
        <v>0</v>
      </c>
      <c r="P47" s="171">
        <f>Pasākumu_līmenis!N36</f>
        <v>1</v>
      </c>
      <c r="Q47" s="171">
        <v>28753769.219999999</v>
      </c>
      <c r="R47" s="172">
        <v>0.90521033795399164</v>
      </c>
      <c r="S47" s="171">
        <f>Pasākumu_līmenis!Q36</f>
        <v>28753769.219999999</v>
      </c>
      <c r="T47" s="172">
        <f t="shared" si="16"/>
        <v>0.90521033795399164</v>
      </c>
      <c r="U47" s="172">
        <f t="shared" si="17"/>
        <v>0</v>
      </c>
      <c r="V47" s="172">
        <f t="shared" si="23"/>
        <v>0</v>
      </c>
      <c r="W47" s="171">
        <f>Pasākumu_līmenis!U36</f>
        <v>1</v>
      </c>
      <c r="X47" s="171">
        <v>28753769.219999999</v>
      </c>
      <c r="Y47" s="172">
        <v>0.90521033795399164</v>
      </c>
      <c r="Z47" s="171">
        <f>Pasākumu_līmenis!X36</f>
        <v>28753769.219999999</v>
      </c>
      <c r="AA47" s="172">
        <f t="shared" si="18"/>
        <v>0.90521033795399164</v>
      </c>
      <c r="AB47" s="172">
        <f t="shared" si="19"/>
        <v>0</v>
      </c>
      <c r="AC47" s="172">
        <f t="shared" si="1"/>
        <v>0</v>
      </c>
      <c r="AD47" s="171">
        <f>Pasākumu_līmenis!AB36</f>
        <v>1</v>
      </c>
      <c r="AE47" s="171">
        <v>28753769.219999999</v>
      </c>
      <c r="AF47" s="172">
        <v>0.90521033795399164</v>
      </c>
      <c r="AG47" s="171">
        <f>Pasākumu_līmenis!AE36</f>
        <v>29095698.419999998</v>
      </c>
      <c r="AH47" s="172">
        <f t="shared" si="20"/>
        <v>0.91597476484773765</v>
      </c>
      <c r="AI47" s="172">
        <f t="shared" si="21"/>
        <v>0</v>
      </c>
      <c r="AJ47" s="172">
        <f t="shared" si="3"/>
        <v>0</v>
      </c>
      <c r="AK47" s="171">
        <v>29095698.419999998</v>
      </c>
      <c r="AL47" s="172">
        <v>0.91597476484773765</v>
      </c>
    </row>
    <row r="48" spans="1:38" ht="21" customHeight="1" x14ac:dyDescent="0.3">
      <c r="A48" s="255" t="s">
        <v>1361</v>
      </c>
      <c r="B48" s="256" t="s">
        <v>1529</v>
      </c>
      <c r="C48" s="12" t="s">
        <v>178</v>
      </c>
      <c r="D48" s="44">
        <f ca="1">IFERROR(IF((VLOOKUP(A48,Pasākumu_līmenis!A:H,3,0))=0,"",VLOOKUP(A48,Pasākumu_līmenis!A:H,3,0)),"")</f>
        <v>2</v>
      </c>
      <c r="E48" s="40" t="str">
        <f>Pasākumu_līmenis!D37</f>
        <v>ERAF</v>
      </c>
      <c r="F48" s="40" t="str">
        <f>Pasākumu_līmenis!E37</f>
        <v>EM</v>
      </c>
      <c r="G48" s="279" t="e">
        <f>VLOOKUP(A48,'2. Intervences kategorijas - Pa'!B:D,2,FALSE)</f>
        <v>#N/A</v>
      </c>
      <c r="H48" s="171">
        <f>Pasākumu_līmenis!F37</f>
        <v>25000000</v>
      </c>
      <c r="I48" s="171">
        <f>Pasākumu_līmenis!G37</f>
        <v>0</v>
      </c>
      <c r="J48" s="171">
        <f>Pasākumu_līmenis!H37</f>
        <v>25000000</v>
      </c>
      <c r="K48" s="171">
        <f>Pasākumu_līmenis!I37</f>
        <v>1691501</v>
      </c>
      <c r="L48" s="171">
        <f>Pasākumu_līmenis!J37</f>
        <v>24993100.711397063</v>
      </c>
      <c r="M48" s="172">
        <f t="shared" ref="M48" si="24">L48/$H48</f>
        <v>0.99972402845588249</v>
      </c>
      <c r="N48" s="172">
        <f>M48-R48</f>
        <v>0</v>
      </c>
      <c r="O48" s="172">
        <f t="shared" ref="O48" si="25">IFERROR(((L48-Q48)/Q48),0)</f>
        <v>0</v>
      </c>
      <c r="P48" s="171">
        <f>Pasākumu_līmenis!N37</f>
        <v>0</v>
      </c>
      <c r="Q48" s="171">
        <v>24993100.711397063</v>
      </c>
      <c r="R48" s="172">
        <v>0.99972402845588249</v>
      </c>
      <c r="S48" s="171">
        <f>Pasākumu_līmenis!Q37</f>
        <v>24993100.711397063</v>
      </c>
      <c r="T48" s="172">
        <f t="shared" ref="T48" si="26">S48/$H48</f>
        <v>0.99972402845588249</v>
      </c>
      <c r="U48" s="172">
        <f t="shared" ref="U48" si="27">T48-Y48</f>
        <v>0</v>
      </c>
      <c r="V48" s="172">
        <f t="shared" ref="V48" si="28">IFERROR(((S48-X48)/X48),0)</f>
        <v>0</v>
      </c>
      <c r="W48" s="171">
        <f>Pasākumu_līmenis!U37</f>
        <v>0</v>
      </c>
      <c r="X48" s="171">
        <v>24993100.711397063</v>
      </c>
      <c r="Y48" s="172">
        <v>0.99972402845588249</v>
      </c>
      <c r="Z48" s="171">
        <f>Pasākumu_līmenis!X37</f>
        <v>24993100.711397063</v>
      </c>
      <c r="AA48" s="172">
        <f t="shared" ref="AA48" si="29">Z48/$H48</f>
        <v>0.99972402845588249</v>
      </c>
      <c r="AB48" s="172">
        <f t="shared" ref="AB48" si="30">AA48-AF48</f>
        <v>0</v>
      </c>
      <c r="AC48" s="172">
        <f t="shared" ref="AC48" si="31">IFERROR(((Z48-AE48)/AE48),0)</f>
        <v>0</v>
      </c>
      <c r="AD48" s="171">
        <f>Pasākumu_līmenis!AB37</f>
        <v>0</v>
      </c>
      <c r="AE48" s="171">
        <v>24993100.711397063</v>
      </c>
      <c r="AF48" s="172">
        <v>0.99972402845588249</v>
      </c>
      <c r="AG48" s="171">
        <f>Pasākumu_līmenis!AE37</f>
        <v>24674492.867647063</v>
      </c>
      <c r="AH48" s="172">
        <f t="shared" ref="AH48" si="32">AG48/$H48</f>
        <v>0.98697971470588253</v>
      </c>
      <c r="AI48" s="172">
        <f t="shared" ref="AI48" si="33">AH48-AL48</f>
        <v>0</v>
      </c>
      <c r="AJ48" s="172">
        <f t="shared" ref="AJ48" si="34">IFERROR(((AG48-AK48)/AK48),0)</f>
        <v>0</v>
      </c>
      <c r="AK48" s="171">
        <v>24674492.867647063</v>
      </c>
      <c r="AL48" s="172">
        <v>0.98697971470588253</v>
      </c>
    </row>
    <row r="49" spans="1:38" ht="39.75" customHeight="1" x14ac:dyDescent="0.3">
      <c r="A49" s="253" t="s">
        <v>433</v>
      </c>
      <c r="B49" s="254" t="str">
        <f>VLOOKUP(A49,saīsinājumi_LV_ENG!A:G,5,FALSE)</f>
        <v>Palielināt straujas izaugsmes komersantu skaitu</v>
      </c>
      <c r="C49" s="222" t="s">
        <v>38</v>
      </c>
      <c r="D49" s="223" t="str">
        <f ca="1">IFERROR(IF((VLOOKUP(A49,Pasākumu_līmenis!A:H,3,0))=0,"",VLOOKUP(A49,Pasākumu_līmenis!A:H,3,0)),"")</f>
        <v/>
      </c>
      <c r="E49" s="224"/>
      <c r="F49" s="224"/>
      <c r="G49" s="278"/>
      <c r="H49" s="225">
        <f>SUM(H50:H51)</f>
        <v>45200000</v>
      </c>
      <c r="I49" s="225">
        <f>SUM(I50:I51)</f>
        <v>0</v>
      </c>
      <c r="J49" s="225">
        <f>SUM(J50:J51)</f>
        <v>45200000</v>
      </c>
      <c r="K49" s="225">
        <f>SUM(K50:K51)</f>
        <v>0</v>
      </c>
      <c r="L49" s="225">
        <f>SUM(L50:L51)</f>
        <v>45187526.086205885</v>
      </c>
      <c r="M49" s="226">
        <f t="shared" si="14"/>
        <v>0.99972402845588237</v>
      </c>
      <c r="N49" s="226">
        <f t="shared" si="15"/>
        <v>0</v>
      </c>
      <c r="O49" s="226">
        <f t="shared" si="22"/>
        <v>0</v>
      </c>
      <c r="P49" s="225">
        <f>SUM(P50:P51)</f>
        <v>1</v>
      </c>
      <c r="Q49" s="225">
        <v>45187526.086205885</v>
      </c>
      <c r="R49" s="226">
        <v>0.99972402845588237</v>
      </c>
      <c r="S49" s="225">
        <f>SUM(S50:S51)</f>
        <v>45187526.086205885</v>
      </c>
      <c r="T49" s="226">
        <f t="shared" si="16"/>
        <v>0.99972402845588237</v>
      </c>
      <c r="U49" s="226">
        <f t="shared" si="17"/>
        <v>0</v>
      </c>
      <c r="V49" s="226">
        <f t="shared" si="23"/>
        <v>0</v>
      </c>
      <c r="W49" s="225">
        <f>SUM(W50:W51)</f>
        <v>1</v>
      </c>
      <c r="X49" s="225">
        <v>45187526.086205885</v>
      </c>
      <c r="Y49" s="226">
        <v>0.99972402845588237</v>
      </c>
      <c r="Z49" s="225">
        <f>SUM(Z50:Z51)</f>
        <v>45187526.086205885</v>
      </c>
      <c r="AA49" s="226">
        <f t="shared" si="18"/>
        <v>0.99972402845588237</v>
      </c>
      <c r="AB49" s="226">
        <f t="shared" si="19"/>
        <v>0</v>
      </c>
      <c r="AC49" s="226">
        <f t="shared" si="1"/>
        <v>0</v>
      </c>
      <c r="AD49" s="225">
        <f>SUM(AD50:AD51)</f>
        <v>1</v>
      </c>
      <c r="AE49" s="225">
        <v>45187526.086205885</v>
      </c>
      <c r="AF49" s="226">
        <v>0.99972402845588237</v>
      </c>
      <c r="AG49" s="225">
        <f>SUM(AG50:AG51)</f>
        <v>44611483.104705885</v>
      </c>
      <c r="AH49" s="226">
        <f t="shared" si="20"/>
        <v>0.98697971470588242</v>
      </c>
      <c r="AI49" s="226">
        <f t="shared" si="21"/>
        <v>0</v>
      </c>
      <c r="AJ49" s="226">
        <f t="shared" si="3"/>
        <v>0</v>
      </c>
      <c r="AK49" s="225">
        <v>44611483.104705885</v>
      </c>
      <c r="AL49" s="226">
        <v>0.98697971470588242</v>
      </c>
    </row>
    <row r="50" spans="1:38" ht="21" customHeight="1" x14ac:dyDescent="0.3">
      <c r="A50" s="255" t="s">
        <v>260</v>
      </c>
      <c r="B50" s="256" t="str">
        <f>VLOOKUP(A50,saīsinājumi_LV_ENG!A:G,5,FALSE)</f>
        <v>Riska kapitāls</v>
      </c>
      <c r="C50" s="12" t="s">
        <v>179</v>
      </c>
      <c r="D50" s="44">
        <f ca="1">IFERROR(IF((VLOOKUP(A50,Pasākumu_līmenis!A:H,3,0))=0,"",VLOOKUP(A50,Pasākumu_līmenis!A:H,3,0)),"")</f>
        <v>2</v>
      </c>
      <c r="E50" s="40" t="str">
        <f>Pasākumu_līmenis!D38</f>
        <v>ERAF</v>
      </c>
      <c r="F50" s="40" t="str">
        <f>Pasākumu_līmenis!E38</f>
        <v>EM</v>
      </c>
      <c r="G50" s="279" t="str">
        <f>VLOOKUP(A50,'2. Intervences kategorijas - Pa'!B:D,2,FALSE)</f>
        <v>03 - Uzlabot mazo un vidējo uzņēmumu (MVU) konkurētspēju</v>
      </c>
      <c r="H50" s="171">
        <f>Pasākumu_līmenis!F38</f>
        <v>29200000</v>
      </c>
      <c r="I50" s="171">
        <f>Pasākumu_līmenis!G38</f>
        <v>0</v>
      </c>
      <c r="J50" s="171">
        <f>Pasākumu_līmenis!H38</f>
        <v>29200000</v>
      </c>
      <c r="K50" s="171">
        <f>Pasākumu_līmenis!I38</f>
        <v>0</v>
      </c>
      <c r="L50" s="171">
        <f>Pasākumu_līmenis!J38</f>
        <v>29191941.630911764</v>
      </c>
      <c r="M50" s="172">
        <f t="shared" si="14"/>
        <v>0.99972402845588237</v>
      </c>
      <c r="N50" s="172">
        <f t="shared" si="15"/>
        <v>0</v>
      </c>
      <c r="O50" s="172">
        <f t="shared" si="22"/>
        <v>0</v>
      </c>
      <c r="P50" s="171">
        <f>Pasākumu_līmenis!N38</f>
        <v>1</v>
      </c>
      <c r="Q50" s="171">
        <v>29191941.630911764</v>
      </c>
      <c r="R50" s="172">
        <v>0.99972402845588237</v>
      </c>
      <c r="S50" s="171">
        <f>Pasākumu_līmenis!Q38</f>
        <v>29191941.630911764</v>
      </c>
      <c r="T50" s="172">
        <f t="shared" si="16"/>
        <v>0.99972402845588237</v>
      </c>
      <c r="U50" s="172">
        <f t="shared" si="17"/>
        <v>0</v>
      </c>
      <c r="V50" s="172">
        <f t="shared" si="23"/>
        <v>0</v>
      </c>
      <c r="W50" s="171">
        <f>Pasākumu_līmenis!U38</f>
        <v>1</v>
      </c>
      <c r="X50" s="171">
        <v>29191941.630911764</v>
      </c>
      <c r="Y50" s="172">
        <v>0.99972402845588237</v>
      </c>
      <c r="Z50" s="171">
        <f>Pasākumu_līmenis!X38</f>
        <v>29191941.630911764</v>
      </c>
      <c r="AA50" s="172">
        <f t="shared" si="18"/>
        <v>0.99972402845588237</v>
      </c>
      <c r="AB50" s="172">
        <f t="shared" si="19"/>
        <v>0</v>
      </c>
      <c r="AC50" s="172">
        <f t="shared" si="1"/>
        <v>0</v>
      </c>
      <c r="AD50" s="171">
        <f>Pasākumu_līmenis!AB38</f>
        <v>1</v>
      </c>
      <c r="AE50" s="171">
        <v>29191941.630911764</v>
      </c>
      <c r="AF50" s="172">
        <v>0.99972402845588237</v>
      </c>
      <c r="AG50" s="171">
        <f>Pasākumu_līmenis!AE38</f>
        <v>28819807.669411767</v>
      </c>
      <c r="AH50" s="172">
        <f t="shared" si="20"/>
        <v>0.98697971470588242</v>
      </c>
      <c r="AI50" s="172">
        <f t="shared" si="21"/>
        <v>0</v>
      </c>
      <c r="AJ50" s="172">
        <f t="shared" si="3"/>
        <v>0</v>
      </c>
      <c r="AK50" s="171">
        <v>28819807.669411767</v>
      </c>
      <c r="AL50" s="172">
        <v>0.98697971470588242</v>
      </c>
    </row>
    <row r="51" spans="1:38" ht="21" customHeight="1" x14ac:dyDescent="0.3">
      <c r="A51" s="255" t="s">
        <v>261</v>
      </c>
      <c r="B51" s="256" t="str">
        <f>VLOOKUP(A51,saīsinājumi_LV_ENG!A:G,5,FALSE)</f>
        <v>Tehnoloģiju akselerators</v>
      </c>
      <c r="C51" s="12" t="s">
        <v>180</v>
      </c>
      <c r="D51" s="44">
        <f ca="1">IFERROR(IF((VLOOKUP(A51,Pasākumu_līmenis!A:H,3,0))=0,"",VLOOKUP(A51,Pasākumu_līmenis!A:H,3,0)),"")</f>
        <v>2</v>
      </c>
      <c r="E51" s="40" t="str">
        <f>Pasākumu_līmenis!D39</f>
        <v>ERAF</v>
      </c>
      <c r="F51" s="40" t="str">
        <f>Pasākumu_līmenis!E39</f>
        <v>EM</v>
      </c>
      <c r="G51" s="279" t="str">
        <f>VLOOKUP(A51,'2. Intervences kategorijas - Pa'!B:D,2,FALSE)</f>
        <v>03 - Uzlabot mazo un vidējo uzņēmumu (MVU) konkurētspēju</v>
      </c>
      <c r="H51" s="171">
        <f>Pasākumu_līmenis!F39</f>
        <v>16000000</v>
      </c>
      <c r="I51" s="171">
        <f>Pasākumu_līmenis!G39</f>
        <v>0</v>
      </c>
      <c r="J51" s="171">
        <f>Pasākumu_līmenis!H39</f>
        <v>16000000</v>
      </c>
      <c r="K51" s="171">
        <f>Pasākumu_līmenis!I39</f>
        <v>0</v>
      </c>
      <c r="L51" s="171">
        <f>Pasākumu_līmenis!J39</f>
        <v>15995584.455294117</v>
      </c>
      <c r="M51" s="172">
        <f t="shared" si="14"/>
        <v>0.99972402845588237</v>
      </c>
      <c r="N51" s="172">
        <f t="shared" si="15"/>
        <v>0</v>
      </c>
      <c r="O51" s="172">
        <f t="shared" si="22"/>
        <v>0</v>
      </c>
      <c r="P51" s="171">
        <f>Pasākumu_līmenis!N39</f>
        <v>0</v>
      </c>
      <c r="Q51" s="171">
        <v>15995584.455294117</v>
      </c>
      <c r="R51" s="172">
        <v>0.99972402845588237</v>
      </c>
      <c r="S51" s="171">
        <f>Pasākumu_līmenis!Q39</f>
        <v>15995584.455294117</v>
      </c>
      <c r="T51" s="172">
        <f t="shared" si="16"/>
        <v>0.99972402845588237</v>
      </c>
      <c r="U51" s="172">
        <f t="shared" si="17"/>
        <v>0</v>
      </c>
      <c r="V51" s="172">
        <f t="shared" si="23"/>
        <v>0</v>
      </c>
      <c r="W51" s="171">
        <f>Pasākumu_līmenis!U39</f>
        <v>0</v>
      </c>
      <c r="X51" s="171">
        <v>15995584.455294117</v>
      </c>
      <c r="Y51" s="172">
        <v>0.99972402845588237</v>
      </c>
      <c r="Z51" s="171">
        <f>Pasākumu_līmenis!X39</f>
        <v>15995584.455294117</v>
      </c>
      <c r="AA51" s="172">
        <f t="shared" si="18"/>
        <v>0.99972402845588237</v>
      </c>
      <c r="AB51" s="172">
        <f t="shared" si="19"/>
        <v>0</v>
      </c>
      <c r="AC51" s="172">
        <f t="shared" si="1"/>
        <v>0</v>
      </c>
      <c r="AD51" s="171">
        <f>Pasākumu_līmenis!AB39</f>
        <v>0</v>
      </c>
      <c r="AE51" s="171">
        <v>15995584.455294117</v>
      </c>
      <c r="AF51" s="172">
        <v>0.99972402845588237</v>
      </c>
      <c r="AG51" s="171">
        <f>Pasākumu_līmenis!AE39</f>
        <v>15791675.43529412</v>
      </c>
      <c r="AH51" s="172">
        <f t="shared" si="20"/>
        <v>0.98697971470588253</v>
      </c>
      <c r="AI51" s="172">
        <f t="shared" si="21"/>
        <v>0</v>
      </c>
      <c r="AJ51" s="172">
        <f t="shared" si="3"/>
        <v>0</v>
      </c>
      <c r="AK51" s="171">
        <v>15791675.43529412</v>
      </c>
      <c r="AL51" s="172">
        <v>0.98697971470588253</v>
      </c>
    </row>
    <row r="52" spans="1:38" ht="39.75" customHeight="1" x14ac:dyDescent="0.3">
      <c r="A52" s="251" t="s">
        <v>22</v>
      </c>
      <c r="B52" s="252" t="str">
        <f>VLOOKUP(A52,saīsinājumi_LV_ENG!A:G,5,FALSE)</f>
        <v xml:space="preserve">MVK konkurētspēju veicināšana starptautisko tirgu apgūšanai </v>
      </c>
      <c r="C52" s="217" t="s">
        <v>26</v>
      </c>
      <c r="D52" s="218" t="str">
        <f ca="1">IFERROR(IF((VLOOKUP(A52,Pasākumu_līmenis!A:H,3,0))=0,"",VLOOKUP(A52,Pasākumu_līmenis!A:H,3,0)),"")</f>
        <v/>
      </c>
      <c r="E52" s="219"/>
      <c r="F52" s="219"/>
      <c r="G52" s="277"/>
      <c r="H52" s="220">
        <f>H53</f>
        <v>85174204</v>
      </c>
      <c r="I52" s="220">
        <f>I53</f>
        <v>0</v>
      </c>
      <c r="J52" s="220">
        <f>J53</f>
        <v>85174204</v>
      </c>
      <c r="K52" s="220">
        <f>K53</f>
        <v>3521184.5609390279</v>
      </c>
      <c r="L52" s="220">
        <f>L53</f>
        <v>84581443.770000011</v>
      </c>
      <c r="M52" s="221">
        <f t="shared" si="14"/>
        <v>0.99304061321195336</v>
      </c>
      <c r="N52" s="221">
        <f t="shared" si="15"/>
        <v>0</v>
      </c>
      <c r="O52" s="221">
        <f t="shared" si="22"/>
        <v>0</v>
      </c>
      <c r="P52" s="220">
        <f>P53</f>
        <v>16</v>
      </c>
      <c r="Q52" s="220">
        <v>84581443.770000011</v>
      </c>
      <c r="R52" s="221">
        <v>0.99304061321195336</v>
      </c>
      <c r="S52" s="220">
        <f>S53</f>
        <v>84581443.770000011</v>
      </c>
      <c r="T52" s="221">
        <f t="shared" si="16"/>
        <v>0.99304061321195336</v>
      </c>
      <c r="U52" s="221">
        <f t="shared" si="17"/>
        <v>0</v>
      </c>
      <c r="V52" s="221">
        <f t="shared" si="23"/>
        <v>0</v>
      </c>
      <c r="W52" s="220">
        <f>W53</f>
        <v>16</v>
      </c>
      <c r="X52" s="220">
        <v>84581443.770000011</v>
      </c>
      <c r="Y52" s="221">
        <v>0.99304061321195336</v>
      </c>
      <c r="Z52" s="220">
        <f>Z53</f>
        <v>84581443.770000011</v>
      </c>
      <c r="AA52" s="221">
        <f t="shared" si="18"/>
        <v>0.99304061321195336</v>
      </c>
      <c r="AB52" s="221">
        <f t="shared" si="19"/>
        <v>0</v>
      </c>
      <c r="AC52" s="221">
        <f t="shared" si="1"/>
        <v>0</v>
      </c>
      <c r="AD52" s="220">
        <f>AD53</f>
        <v>16</v>
      </c>
      <c r="AE52" s="220">
        <v>84581443.770000011</v>
      </c>
      <c r="AF52" s="221">
        <v>0.99304061321195336</v>
      </c>
      <c r="AG52" s="220">
        <f>AG53</f>
        <v>80451165.25999999</v>
      </c>
      <c r="AH52" s="221">
        <f t="shared" si="20"/>
        <v>0.94454848395178415</v>
      </c>
      <c r="AI52" s="221">
        <f t="shared" si="21"/>
        <v>0</v>
      </c>
      <c r="AJ52" s="221">
        <f t="shared" si="3"/>
        <v>0</v>
      </c>
      <c r="AK52" s="220">
        <v>80451165.25999999</v>
      </c>
      <c r="AL52" s="221">
        <v>0.94454848395178415</v>
      </c>
    </row>
    <row r="53" spans="1:38" ht="39.75" customHeight="1" x14ac:dyDescent="0.3">
      <c r="A53" s="253" t="s">
        <v>434</v>
      </c>
      <c r="B53" s="254" t="str">
        <f>VLOOKUP(A53,saīsinājumi_LV_ENG!A:G,5,FALSE)</f>
        <v xml:space="preserve">Augstas pievienotās vērtības produktu eksporta palielināšana </v>
      </c>
      <c r="C53" s="222" t="s">
        <v>39</v>
      </c>
      <c r="D53" s="222" t="str">
        <f ca="1">IFERROR(IF((VLOOKUP(A53,Pasākumu_līmenis!A:H,3,0))=0,"",VLOOKUP(A53,Pasākumu_līmenis!A:H,3,0)),"")</f>
        <v/>
      </c>
      <c r="E53" s="224"/>
      <c r="F53" s="224"/>
      <c r="G53" s="278"/>
      <c r="H53" s="225">
        <f>SUM(H54:H55)</f>
        <v>85174204</v>
      </c>
      <c r="I53" s="225">
        <f>SUM(I54:I55)</f>
        <v>0</v>
      </c>
      <c r="J53" s="225">
        <f>SUM(J54:J55)</f>
        <v>85174204</v>
      </c>
      <c r="K53" s="225">
        <f>SUM(K54:K55)</f>
        <v>3521184.5609390279</v>
      </c>
      <c r="L53" s="225">
        <f>SUM(L54:L55)</f>
        <v>84581443.770000011</v>
      </c>
      <c r="M53" s="226">
        <f t="shared" si="14"/>
        <v>0.99304061321195336</v>
      </c>
      <c r="N53" s="226">
        <f t="shared" si="15"/>
        <v>0</v>
      </c>
      <c r="O53" s="226">
        <f t="shared" si="22"/>
        <v>0</v>
      </c>
      <c r="P53" s="225">
        <f>SUM(P54:P55)</f>
        <v>16</v>
      </c>
      <c r="Q53" s="225">
        <v>84581443.770000011</v>
      </c>
      <c r="R53" s="226">
        <v>0.99304061321195336</v>
      </c>
      <c r="S53" s="225">
        <f>SUM(S54:S55)</f>
        <v>84581443.770000011</v>
      </c>
      <c r="T53" s="226">
        <f t="shared" si="16"/>
        <v>0.99304061321195336</v>
      </c>
      <c r="U53" s="226">
        <f t="shared" si="17"/>
        <v>0</v>
      </c>
      <c r="V53" s="226">
        <f t="shared" si="23"/>
        <v>0</v>
      </c>
      <c r="W53" s="225">
        <f>SUM(W54:W55)</f>
        <v>16</v>
      </c>
      <c r="X53" s="225">
        <v>84581443.770000011</v>
      </c>
      <c r="Y53" s="226">
        <v>0.99304061321195336</v>
      </c>
      <c r="Z53" s="225">
        <f>SUM(Z54:Z55)</f>
        <v>84581443.770000011</v>
      </c>
      <c r="AA53" s="226">
        <f t="shared" si="18"/>
        <v>0.99304061321195336</v>
      </c>
      <c r="AB53" s="226">
        <f t="shared" si="19"/>
        <v>0</v>
      </c>
      <c r="AC53" s="226">
        <f t="shared" si="1"/>
        <v>0</v>
      </c>
      <c r="AD53" s="225">
        <f>SUM(AD54:AD55)</f>
        <v>16</v>
      </c>
      <c r="AE53" s="225">
        <v>84581443.770000011</v>
      </c>
      <c r="AF53" s="226">
        <v>0.99304061321195336</v>
      </c>
      <c r="AG53" s="225">
        <f>SUM(AG54:AG55)</f>
        <v>80451165.25999999</v>
      </c>
      <c r="AH53" s="226">
        <f t="shared" si="20"/>
        <v>0.94454848395178415</v>
      </c>
      <c r="AI53" s="226">
        <f t="shared" si="21"/>
        <v>0</v>
      </c>
      <c r="AJ53" s="226">
        <f t="shared" si="3"/>
        <v>0</v>
      </c>
      <c r="AK53" s="225">
        <v>80451165.25999999</v>
      </c>
      <c r="AL53" s="226">
        <v>0.94454848395178415</v>
      </c>
    </row>
    <row r="54" spans="1:38" ht="21" customHeight="1" x14ac:dyDescent="0.3">
      <c r="A54" s="255" t="s">
        <v>411</v>
      </c>
      <c r="B54" s="256" t="str">
        <f>VLOOKUP(A54,saīsinājumi_LV_ENG!A:G,5,FALSE)</f>
        <v>Klasteru programma</v>
      </c>
      <c r="C54" s="12" t="s">
        <v>182</v>
      </c>
      <c r="D54" s="12"/>
      <c r="E54" s="40" t="str">
        <f>Pasākumu_līmenis!D40</f>
        <v>ERAF</v>
      </c>
      <c r="F54" s="40" t="str">
        <f>Pasākumu_līmenis!E40</f>
        <v>EM</v>
      </c>
      <c r="G54" s="279" t="str">
        <f>VLOOKUP(A54,'2. Intervences kategorijas - Pa'!B:D,2,FALSE)</f>
        <v>03 - Uzlabot mazo un vidējo uzņēmumu (MVU) konkurētspēju</v>
      </c>
      <c r="H54" s="171">
        <f>Pasākumu_līmenis!F40</f>
        <v>6732853</v>
      </c>
      <c r="I54" s="171">
        <f>Pasākumu_līmenis!G40</f>
        <v>0</v>
      </c>
      <c r="J54" s="171">
        <f>Pasākumu_līmenis!H40</f>
        <v>6732853</v>
      </c>
      <c r="K54" s="171">
        <f>Pasākumu_līmenis!I40</f>
        <v>378170.56093902799</v>
      </c>
      <c r="L54" s="171">
        <f>Pasākumu_līmenis!J40</f>
        <v>6552472.9299999997</v>
      </c>
      <c r="M54" s="172">
        <f t="shared" si="14"/>
        <v>0.97320896951114177</v>
      </c>
      <c r="N54" s="172">
        <f t="shared" si="15"/>
        <v>0</v>
      </c>
      <c r="O54" s="172">
        <f t="shared" si="22"/>
        <v>0</v>
      </c>
      <c r="P54" s="171">
        <f>Pasākumu_līmenis!N40</f>
        <v>14</v>
      </c>
      <c r="Q54" s="171">
        <v>6552472.9299999997</v>
      </c>
      <c r="R54" s="172">
        <v>0.97320896951114177</v>
      </c>
      <c r="S54" s="171">
        <f>Pasākumu_līmenis!Q40</f>
        <v>6552472.9299999997</v>
      </c>
      <c r="T54" s="172">
        <f t="shared" si="16"/>
        <v>0.97320896951114177</v>
      </c>
      <c r="U54" s="172">
        <f t="shared" si="17"/>
        <v>0</v>
      </c>
      <c r="V54" s="172">
        <f t="shared" si="23"/>
        <v>0</v>
      </c>
      <c r="W54" s="171">
        <f>Pasākumu_līmenis!U40</f>
        <v>14</v>
      </c>
      <c r="X54" s="171">
        <v>6552472.9299999997</v>
      </c>
      <c r="Y54" s="172">
        <v>0.97320896951114177</v>
      </c>
      <c r="Z54" s="171">
        <f>Pasākumu_līmenis!X40</f>
        <v>6552472.9299999997</v>
      </c>
      <c r="AA54" s="172">
        <f t="shared" si="18"/>
        <v>0.97320896951114177</v>
      </c>
      <c r="AB54" s="172">
        <f t="shared" si="19"/>
        <v>0</v>
      </c>
      <c r="AC54" s="172">
        <f t="shared" si="1"/>
        <v>0</v>
      </c>
      <c r="AD54" s="171">
        <f>Pasākumu_līmenis!AB40</f>
        <v>14</v>
      </c>
      <c r="AE54" s="171">
        <v>6552472.9299999997</v>
      </c>
      <c r="AF54" s="172">
        <v>0.97320896951114177</v>
      </c>
      <c r="AG54" s="171">
        <f>Pasākumu_līmenis!AE40</f>
        <v>6552472.9299999997</v>
      </c>
      <c r="AH54" s="172">
        <f t="shared" si="20"/>
        <v>0.97320896951114177</v>
      </c>
      <c r="AI54" s="172">
        <f t="shared" si="21"/>
        <v>0</v>
      </c>
      <c r="AJ54" s="172">
        <f t="shared" si="3"/>
        <v>0</v>
      </c>
      <c r="AK54" s="171">
        <v>6552472.9299999997</v>
      </c>
      <c r="AL54" s="172">
        <v>0.97320896951114177</v>
      </c>
    </row>
    <row r="55" spans="1:38" ht="21" customHeight="1" x14ac:dyDescent="0.3">
      <c r="A55" s="255" t="s">
        <v>364</v>
      </c>
      <c r="B55" s="256" t="str">
        <f>VLOOKUP(A55,saīsinājumi_LV_ENG!A:G,5,FALSE)</f>
        <v>Starptautiskā konkurētspēja</v>
      </c>
      <c r="C55" s="12" t="s">
        <v>181</v>
      </c>
      <c r="D55" s="12"/>
      <c r="E55" s="40" t="str">
        <f>Pasākumu_līmenis!D41</f>
        <v>ERAF</v>
      </c>
      <c r="F55" s="40" t="str">
        <f>Pasākumu_līmenis!E41</f>
        <v>EM</v>
      </c>
      <c r="G55" s="279" t="str">
        <f>VLOOKUP(A55,'2. Intervences kategorijas - Pa'!B:D,2,FALSE)</f>
        <v>03 - Uzlabot mazo un vidējo uzņēmumu (MVU) konkurētspēju</v>
      </c>
      <c r="H55" s="171">
        <f>Pasākumu_līmenis!F41</f>
        <v>78441351</v>
      </c>
      <c r="I55" s="171">
        <f>Pasākumu_līmenis!G41</f>
        <v>0</v>
      </c>
      <c r="J55" s="171">
        <f>Pasākumu_līmenis!H41</f>
        <v>78441351</v>
      </c>
      <c r="K55" s="171">
        <f>Pasākumu_līmenis!I41</f>
        <v>3143014</v>
      </c>
      <c r="L55" s="171">
        <f>Pasākumu_līmenis!J41</f>
        <v>78028970.840000004</v>
      </c>
      <c r="M55" s="172">
        <f t="shared" si="14"/>
        <v>0.99474282180581008</v>
      </c>
      <c r="N55" s="172">
        <f t="shared" si="15"/>
        <v>0</v>
      </c>
      <c r="O55" s="172">
        <f t="shared" si="22"/>
        <v>0</v>
      </c>
      <c r="P55" s="171">
        <f>Pasākumu_līmenis!N41</f>
        <v>2</v>
      </c>
      <c r="Q55" s="171">
        <v>78028970.840000004</v>
      </c>
      <c r="R55" s="172">
        <v>0.99474282180581008</v>
      </c>
      <c r="S55" s="171">
        <f>Pasākumu_līmenis!Q41</f>
        <v>78028970.840000004</v>
      </c>
      <c r="T55" s="172">
        <f t="shared" si="16"/>
        <v>0.99474282180581008</v>
      </c>
      <c r="U55" s="172">
        <f t="shared" si="17"/>
        <v>0</v>
      </c>
      <c r="V55" s="172">
        <f t="shared" si="23"/>
        <v>0</v>
      </c>
      <c r="W55" s="171">
        <f>Pasākumu_līmenis!U41</f>
        <v>2</v>
      </c>
      <c r="X55" s="171">
        <v>78028970.840000004</v>
      </c>
      <c r="Y55" s="172">
        <v>0.99474282180581008</v>
      </c>
      <c r="Z55" s="171">
        <f>Pasākumu_līmenis!X41</f>
        <v>78028970.840000004</v>
      </c>
      <c r="AA55" s="172">
        <f t="shared" si="18"/>
        <v>0.99474282180581008</v>
      </c>
      <c r="AB55" s="172">
        <f t="shared" si="19"/>
        <v>0</v>
      </c>
      <c r="AC55" s="172">
        <f t="shared" si="1"/>
        <v>0</v>
      </c>
      <c r="AD55" s="171">
        <f>Pasākumu_līmenis!AB41</f>
        <v>2</v>
      </c>
      <c r="AE55" s="171">
        <v>78028970.840000004</v>
      </c>
      <c r="AF55" s="172">
        <v>0.99474282180581008</v>
      </c>
      <c r="AG55" s="171">
        <f>Pasākumu_līmenis!AE41</f>
        <v>73898692.329999998</v>
      </c>
      <c r="AH55" s="172">
        <f t="shared" si="20"/>
        <v>0.94208846976641181</v>
      </c>
      <c r="AI55" s="172">
        <f t="shared" si="21"/>
        <v>0</v>
      </c>
      <c r="AJ55" s="172">
        <f t="shared" si="3"/>
        <v>0</v>
      </c>
      <c r="AK55" s="171">
        <v>73898692.329999998</v>
      </c>
      <c r="AL55" s="172">
        <v>0.94208846976641181</v>
      </c>
    </row>
    <row r="56" spans="1:38" ht="39.75" customHeight="1" x14ac:dyDescent="0.3">
      <c r="A56" s="251" t="s">
        <v>23</v>
      </c>
      <c r="B56" s="252" t="str">
        <f>VLOOKUP(A56,saīsinājumi_LV_ENG!A:G,5,FALSE)</f>
        <v>Produktu un pakalpojumu attīstība un  kapacitāte</v>
      </c>
      <c r="C56" s="217" t="s">
        <v>27</v>
      </c>
      <c r="D56" s="217" t="str">
        <f ca="1">IFERROR(IF((VLOOKUP(A56,Pasākumu_līmenis!A:H,3,0))=0,"",VLOOKUP(A56,Pasākumu_līmenis!A:H,3,0)),"")</f>
        <v/>
      </c>
      <c r="E56" s="219"/>
      <c r="F56" s="218"/>
      <c r="G56" s="240"/>
      <c r="H56" s="220">
        <f>H57</f>
        <v>59016742</v>
      </c>
      <c r="I56" s="220">
        <f>I57</f>
        <v>290005</v>
      </c>
      <c r="J56" s="220">
        <f>J57</f>
        <v>59306747</v>
      </c>
      <c r="K56" s="220">
        <f>K57</f>
        <v>3599740</v>
      </c>
      <c r="L56" s="220">
        <f>L57</f>
        <v>55993158.270000003</v>
      </c>
      <c r="M56" s="221">
        <f t="shared" si="14"/>
        <v>0.94876735604957663</v>
      </c>
      <c r="N56" s="221">
        <f t="shared" si="15"/>
        <v>0</v>
      </c>
      <c r="O56" s="221">
        <f t="shared" si="22"/>
        <v>0</v>
      </c>
      <c r="P56" s="220">
        <f>P57</f>
        <v>100</v>
      </c>
      <c r="Q56" s="220">
        <v>55993158.270000003</v>
      </c>
      <c r="R56" s="221">
        <v>0.94876735604957663</v>
      </c>
      <c r="S56" s="220">
        <f>S57</f>
        <v>55993158.270000003</v>
      </c>
      <c r="T56" s="221">
        <f t="shared" si="16"/>
        <v>0.94876735604957663</v>
      </c>
      <c r="U56" s="221">
        <f t="shared" si="17"/>
        <v>0</v>
      </c>
      <c r="V56" s="221">
        <f t="shared" si="23"/>
        <v>0</v>
      </c>
      <c r="W56" s="220">
        <f>W57</f>
        <v>100</v>
      </c>
      <c r="X56" s="220">
        <v>55993158.270000003</v>
      </c>
      <c r="Y56" s="221">
        <v>0.94876735604957663</v>
      </c>
      <c r="Z56" s="220">
        <f>Z57</f>
        <v>55993158.270000003</v>
      </c>
      <c r="AA56" s="221">
        <f t="shared" si="18"/>
        <v>0.94876735604957663</v>
      </c>
      <c r="AB56" s="221">
        <f t="shared" si="19"/>
        <v>0</v>
      </c>
      <c r="AC56" s="221">
        <f t="shared" si="1"/>
        <v>0</v>
      </c>
      <c r="AD56" s="220">
        <f>AD57</f>
        <v>100</v>
      </c>
      <c r="AE56" s="220">
        <v>55993158.270000003</v>
      </c>
      <c r="AF56" s="221">
        <v>0.94876735604957663</v>
      </c>
      <c r="AG56" s="220">
        <f>AG57</f>
        <v>56111641.82</v>
      </c>
      <c r="AH56" s="221">
        <f t="shared" si="20"/>
        <v>0.95077498212286948</v>
      </c>
      <c r="AI56" s="221">
        <f t="shared" si="21"/>
        <v>0</v>
      </c>
      <c r="AJ56" s="221">
        <f t="shared" si="3"/>
        <v>0</v>
      </c>
      <c r="AK56" s="220">
        <v>56111641.82</v>
      </c>
      <c r="AL56" s="221">
        <v>0.95077498212286948</v>
      </c>
    </row>
    <row r="57" spans="1:38" ht="39.75" customHeight="1" x14ac:dyDescent="0.3">
      <c r="A57" s="257" t="s">
        <v>262</v>
      </c>
      <c r="B57" s="256" t="str">
        <f>VLOOKUP(A57,saīsinājumi_LV_ENG!A:G,5,FALSE)</f>
        <v>Publiskā infrastruktūra uzņēmējdarbībai</v>
      </c>
      <c r="C57" s="12" t="s">
        <v>40</v>
      </c>
      <c r="D57" s="12"/>
      <c r="E57" s="40" t="str">
        <f>Pasākumu_līmenis!D42</f>
        <v>ERAF</v>
      </c>
      <c r="F57" s="40" t="str">
        <f>Pasākumu_līmenis!E42</f>
        <v>VARAM</v>
      </c>
      <c r="G57" s="279" t="str">
        <f>VLOOKUP(A57,'2. Intervences kategorijas - Pa'!B:D,2,FALSE)</f>
        <v>03 - Uzlabot mazo un vidējo uzņēmumu (MVU) konkurētspēju</v>
      </c>
      <c r="H57" s="171">
        <f>Pasākumu_līmenis!F42</f>
        <v>59016742</v>
      </c>
      <c r="I57" s="171">
        <f>Pasākumu_līmenis!G42</f>
        <v>290005</v>
      </c>
      <c r="J57" s="171">
        <f>Pasākumu_līmenis!H42</f>
        <v>59306747</v>
      </c>
      <c r="K57" s="171">
        <f>Pasākumu_līmenis!I42</f>
        <v>3599740</v>
      </c>
      <c r="L57" s="171">
        <f>Pasākumu_līmenis!J42</f>
        <v>55993158.270000003</v>
      </c>
      <c r="M57" s="172">
        <f t="shared" si="14"/>
        <v>0.94876735604957663</v>
      </c>
      <c r="N57" s="172">
        <f t="shared" si="15"/>
        <v>0</v>
      </c>
      <c r="O57" s="172">
        <f t="shared" si="22"/>
        <v>0</v>
      </c>
      <c r="P57" s="171">
        <f>Pasākumu_līmenis!N42</f>
        <v>100</v>
      </c>
      <c r="Q57" s="171">
        <v>55993158.270000003</v>
      </c>
      <c r="R57" s="172">
        <v>0.94876735604957663</v>
      </c>
      <c r="S57" s="171">
        <f>Pasākumu_līmenis!Q42</f>
        <v>55993158.270000003</v>
      </c>
      <c r="T57" s="172">
        <f t="shared" si="16"/>
        <v>0.94876735604957663</v>
      </c>
      <c r="U57" s="172">
        <f t="shared" si="17"/>
        <v>0</v>
      </c>
      <c r="V57" s="172">
        <f t="shared" si="23"/>
        <v>0</v>
      </c>
      <c r="W57" s="171">
        <f>Pasākumu_līmenis!U42</f>
        <v>100</v>
      </c>
      <c r="X57" s="171">
        <v>55993158.270000003</v>
      </c>
      <c r="Y57" s="172">
        <v>0.94876735604957663</v>
      </c>
      <c r="Z57" s="171">
        <f>Pasākumu_līmenis!X42</f>
        <v>55993158.270000003</v>
      </c>
      <c r="AA57" s="172">
        <f t="shared" si="18"/>
        <v>0.94876735604957663</v>
      </c>
      <c r="AB57" s="172">
        <f t="shared" si="19"/>
        <v>0</v>
      </c>
      <c r="AC57" s="172">
        <f t="shared" si="1"/>
        <v>0</v>
      </c>
      <c r="AD57" s="171">
        <f>Pasākumu_līmenis!AB42</f>
        <v>100</v>
      </c>
      <c r="AE57" s="171">
        <v>55993158.270000003</v>
      </c>
      <c r="AF57" s="172">
        <v>0.94876735604957663</v>
      </c>
      <c r="AG57" s="171">
        <f>Pasākumu_līmenis!AE42</f>
        <v>56111641.82</v>
      </c>
      <c r="AH57" s="172">
        <f t="shared" si="20"/>
        <v>0.95077498212286948</v>
      </c>
      <c r="AI57" s="172">
        <f t="shared" si="21"/>
        <v>0</v>
      </c>
      <c r="AJ57" s="172">
        <f t="shared" si="3"/>
        <v>0</v>
      </c>
      <c r="AK57" s="171">
        <v>56111641.82</v>
      </c>
      <c r="AL57" s="172">
        <v>0.95077498212286948</v>
      </c>
    </row>
    <row r="58" spans="1:38" ht="21.75" customHeight="1" x14ac:dyDescent="0.3">
      <c r="A58" s="251" t="s">
        <v>24</v>
      </c>
      <c r="B58" s="252" t="str">
        <f>VLOOKUP(A58,saīsinājumi_LV_ENG!A:G,5,FALSE)</f>
        <v>Valsts pārvaldes efektivitāte</v>
      </c>
      <c r="C58" s="231" t="s">
        <v>28</v>
      </c>
      <c r="D58" s="217" t="str">
        <f ca="1">IFERROR(IF((VLOOKUP(A58,Pasākumu_līmenis!A:H,3,0))=0,"",VLOOKUP(A58,Pasākumu_līmenis!A:H,3,0)),"")</f>
        <v/>
      </c>
      <c r="E58" s="219"/>
      <c r="F58" s="219"/>
      <c r="G58" s="277"/>
      <c r="H58" s="220">
        <f>H59+H60</f>
        <v>17799857</v>
      </c>
      <c r="I58" s="220">
        <f>I59+I60</f>
        <v>0</v>
      </c>
      <c r="J58" s="220">
        <f>J59+J60</f>
        <v>17799857</v>
      </c>
      <c r="K58" s="220">
        <f>K59+K60</f>
        <v>1123273.1675711772</v>
      </c>
      <c r="L58" s="220">
        <f>L59+L60</f>
        <v>17720662.950000003</v>
      </c>
      <c r="M58" s="221">
        <f t="shared" si="14"/>
        <v>0.99555086032432749</v>
      </c>
      <c r="N58" s="221">
        <f t="shared" si="15"/>
        <v>0</v>
      </c>
      <c r="O58" s="221">
        <f t="shared" si="22"/>
        <v>0</v>
      </c>
      <c r="P58" s="220">
        <f>P59+P60</f>
        <v>8</v>
      </c>
      <c r="Q58" s="220">
        <v>17720662.950000003</v>
      </c>
      <c r="R58" s="221">
        <v>0.99555086032432749</v>
      </c>
      <c r="S58" s="220">
        <f>S59+S60</f>
        <v>17720662.950000003</v>
      </c>
      <c r="T58" s="221">
        <f t="shared" si="16"/>
        <v>0.99555086032432749</v>
      </c>
      <c r="U58" s="221">
        <f t="shared" si="17"/>
        <v>0</v>
      </c>
      <c r="V58" s="221">
        <f t="shared" si="23"/>
        <v>0</v>
      </c>
      <c r="W58" s="220">
        <f>W59+W60</f>
        <v>8</v>
      </c>
      <c r="X58" s="220">
        <v>17720662.950000003</v>
      </c>
      <c r="Y58" s="221">
        <v>0.99555086032432749</v>
      </c>
      <c r="Z58" s="220">
        <f>Z59+Z60</f>
        <v>17720662.950000003</v>
      </c>
      <c r="AA58" s="221">
        <f t="shared" si="18"/>
        <v>0.99555086032432749</v>
      </c>
      <c r="AB58" s="221">
        <f t="shared" si="19"/>
        <v>0</v>
      </c>
      <c r="AC58" s="221">
        <f t="shared" si="1"/>
        <v>0</v>
      </c>
      <c r="AD58" s="220">
        <f>AD59+AD60</f>
        <v>8</v>
      </c>
      <c r="AE58" s="220">
        <v>17720662.950000003</v>
      </c>
      <c r="AF58" s="221">
        <v>0.99555086032432749</v>
      </c>
      <c r="AG58" s="220">
        <f>AG59+AG60</f>
        <v>17720662.950000003</v>
      </c>
      <c r="AH58" s="221">
        <f t="shared" si="20"/>
        <v>0.99555086032432749</v>
      </c>
      <c r="AI58" s="221">
        <f t="shared" si="21"/>
        <v>0</v>
      </c>
      <c r="AJ58" s="221">
        <f t="shared" si="3"/>
        <v>0</v>
      </c>
      <c r="AK58" s="220">
        <v>17720662.950000003</v>
      </c>
      <c r="AL58" s="221">
        <v>0.99555086032432749</v>
      </c>
    </row>
    <row r="59" spans="1:38" ht="39.75" customHeight="1" x14ac:dyDescent="0.3">
      <c r="A59" s="257" t="s">
        <v>417</v>
      </c>
      <c r="B59" s="256" t="str">
        <f>VLOOKUP(A59,saīsinājumi_LV_ENG!A:G,5,FALSE)</f>
        <v>Tiesu un tiesībsargājošo institūciju darbinieku apmācība</v>
      </c>
      <c r="C59" s="12" t="s">
        <v>41</v>
      </c>
      <c r="D59" s="12"/>
      <c r="E59" s="40" t="str">
        <f>Pasākumu_līmenis!D43</f>
        <v>ESF</v>
      </c>
      <c r="F59" s="40" t="str">
        <f>Pasākumu_līmenis!E43</f>
        <v>TM</v>
      </c>
      <c r="G59" s="279" t="str">
        <f>VLOOKUP(A59,'2. Intervences kategorijas - Pa'!B:D,2,FALSE)</f>
        <v>11 - Publisko iestāžu un ieinteresēto personu institucionālo spēju uzlabošana un efektīva valsts pārvalde</v>
      </c>
      <c r="H59" s="171">
        <f>Pasākumu_līmenis!F43</f>
        <v>9230484</v>
      </c>
      <c r="I59" s="171">
        <f>Pasākumu_līmenis!G43</f>
        <v>0</v>
      </c>
      <c r="J59" s="171">
        <f>Pasākumu_līmenis!H43</f>
        <v>9230484</v>
      </c>
      <c r="K59" s="171">
        <f>Pasākumu_līmenis!I43</f>
        <v>590385</v>
      </c>
      <c r="L59" s="171">
        <f>Pasākumu_līmenis!J43</f>
        <v>9219650.8000000007</v>
      </c>
      <c r="M59" s="172">
        <f t="shared" si="14"/>
        <v>0.99882636706807582</v>
      </c>
      <c r="N59" s="172">
        <f t="shared" si="15"/>
        <v>0</v>
      </c>
      <c r="O59" s="172">
        <f t="shared" si="22"/>
        <v>0</v>
      </c>
      <c r="P59" s="171">
        <f>Pasākumu_līmenis!N43</f>
        <v>1</v>
      </c>
      <c r="Q59" s="171">
        <v>9219650.8000000007</v>
      </c>
      <c r="R59" s="172">
        <v>0.99882636706807582</v>
      </c>
      <c r="S59" s="171">
        <f>Pasākumu_līmenis!Q43</f>
        <v>9219650.8000000007</v>
      </c>
      <c r="T59" s="172">
        <f t="shared" si="16"/>
        <v>0.99882636706807582</v>
      </c>
      <c r="U59" s="172">
        <f t="shared" si="17"/>
        <v>0</v>
      </c>
      <c r="V59" s="172">
        <f t="shared" si="23"/>
        <v>0</v>
      </c>
      <c r="W59" s="171">
        <f>Pasākumu_līmenis!U43</f>
        <v>1</v>
      </c>
      <c r="X59" s="171">
        <v>9219650.8000000007</v>
      </c>
      <c r="Y59" s="172">
        <v>0.99882636706807582</v>
      </c>
      <c r="Z59" s="171">
        <f>Pasākumu_līmenis!X43</f>
        <v>9219650.8000000007</v>
      </c>
      <c r="AA59" s="172">
        <f t="shared" si="18"/>
        <v>0.99882636706807582</v>
      </c>
      <c r="AB59" s="172">
        <f t="shared" si="19"/>
        <v>0</v>
      </c>
      <c r="AC59" s="172">
        <f t="shared" si="1"/>
        <v>0</v>
      </c>
      <c r="AD59" s="171">
        <f>Pasākumu_līmenis!AB43</f>
        <v>1</v>
      </c>
      <c r="AE59" s="171">
        <v>9219650.8000000007</v>
      </c>
      <c r="AF59" s="172">
        <v>0.99882636706807582</v>
      </c>
      <c r="AG59" s="171">
        <f>Pasākumu_līmenis!AE43</f>
        <v>9219650.8000000007</v>
      </c>
      <c r="AH59" s="172">
        <f t="shared" si="20"/>
        <v>0.99882636706807582</v>
      </c>
      <c r="AI59" s="172">
        <f t="shared" si="21"/>
        <v>0</v>
      </c>
      <c r="AJ59" s="172">
        <f t="shared" si="3"/>
        <v>0</v>
      </c>
      <c r="AK59" s="171">
        <v>9219650.8000000007</v>
      </c>
      <c r="AL59" s="172">
        <v>0.99882636706807582</v>
      </c>
    </row>
    <row r="60" spans="1:38" ht="59.25" customHeight="1" x14ac:dyDescent="0.3">
      <c r="A60" s="258" t="s">
        <v>418</v>
      </c>
      <c r="B60" s="254" t="str">
        <f>VLOOKUP(A60,saīsinājumi_LV_ENG!A:G,5,FALSE)</f>
        <v>Valsts pārvaldes profesionālā pilnveide un sociālā dialoga attīstība</v>
      </c>
      <c r="C60" s="232" t="s">
        <v>25</v>
      </c>
      <c r="D60" s="222" t="str">
        <f ca="1">IFERROR(IF((VLOOKUP(A60,Pasākumu_līmenis!A:H,3,0))=0,"",VLOOKUP(A60,Pasākumu_līmenis!A:H,3,0)),"")</f>
        <v/>
      </c>
      <c r="E60" s="233"/>
      <c r="F60" s="233"/>
      <c r="G60" s="282"/>
      <c r="H60" s="225">
        <f>H61+H62+H63</f>
        <v>8569373</v>
      </c>
      <c r="I60" s="225">
        <f>I61+I62+I63</f>
        <v>0</v>
      </c>
      <c r="J60" s="225">
        <f>J61+J62+J63</f>
        <v>8569373</v>
      </c>
      <c r="K60" s="225">
        <f>K61+K62+K63</f>
        <v>532888.16757117736</v>
      </c>
      <c r="L60" s="225">
        <f>L61+L62+L63</f>
        <v>8501012.1500000004</v>
      </c>
      <c r="M60" s="226">
        <f>L60/$H60</f>
        <v>0.99202265439956927</v>
      </c>
      <c r="N60" s="226">
        <f>M60-R60</f>
        <v>0</v>
      </c>
      <c r="O60" s="226">
        <f t="shared" si="22"/>
        <v>0</v>
      </c>
      <c r="P60" s="225">
        <f>P61+P62+P63</f>
        <v>7</v>
      </c>
      <c r="Q60" s="225">
        <v>8501012.1500000004</v>
      </c>
      <c r="R60" s="234">
        <v>0.99202265439956927</v>
      </c>
      <c r="S60" s="225">
        <f>S61+S62+S63</f>
        <v>8501012.1500000004</v>
      </c>
      <c r="T60" s="226">
        <f>S60/$H60</f>
        <v>0.99202265439956927</v>
      </c>
      <c r="U60" s="226">
        <f>T60-Y60</f>
        <v>0</v>
      </c>
      <c r="V60" s="226">
        <f t="shared" si="23"/>
        <v>0</v>
      </c>
      <c r="W60" s="225">
        <f>W61+W62+W63</f>
        <v>7</v>
      </c>
      <c r="X60" s="225">
        <v>8501012.1500000004</v>
      </c>
      <c r="Y60" s="226">
        <v>0.99202265439956927</v>
      </c>
      <c r="Z60" s="225">
        <f>Z61+Z62+Z63</f>
        <v>8501012.1500000004</v>
      </c>
      <c r="AA60" s="226">
        <f>Z60/$H60</f>
        <v>0.99202265439956927</v>
      </c>
      <c r="AB60" s="226">
        <f>AA60-AF60</f>
        <v>0</v>
      </c>
      <c r="AC60" s="226">
        <f t="shared" si="1"/>
        <v>0</v>
      </c>
      <c r="AD60" s="225">
        <f>AD61+AD62+AD63</f>
        <v>7</v>
      </c>
      <c r="AE60" s="225">
        <v>8501012.1500000004</v>
      </c>
      <c r="AF60" s="234">
        <v>0.99202265439956927</v>
      </c>
      <c r="AG60" s="225">
        <f>AG61+AG62+AG63</f>
        <v>8501012.1500000004</v>
      </c>
      <c r="AH60" s="226">
        <f>AG60/$H60</f>
        <v>0.99202265439956927</v>
      </c>
      <c r="AI60" s="226">
        <f>AH60-AL60</f>
        <v>0</v>
      </c>
      <c r="AJ60" s="226">
        <f t="shared" si="3"/>
        <v>0</v>
      </c>
      <c r="AK60" s="225">
        <v>8501012.1500000004</v>
      </c>
      <c r="AL60" s="226">
        <v>0.99202265439956927</v>
      </c>
    </row>
    <row r="61" spans="1:38" ht="39.75" customHeight="1" x14ac:dyDescent="0.3">
      <c r="A61" s="259" t="s">
        <v>458</v>
      </c>
      <c r="B61" s="260" t="str">
        <f>VLOOKUP(A61,saīsinājumi_LV_ENG!A:G,5,FALSE)</f>
        <v>Valsts pārvaldes darbinieku apmācības</v>
      </c>
      <c r="C61" s="95" t="s">
        <v>456</v>
      </c>
      <c r="D61" s="12"/>
      <c r="E61" s="97" t="s">
        <v>346</v>
      </c>
      <c r="F61" s="97" t="s">
        <v>354</v>
      </c>
      <c r="G61" s="283" t="str">
        <f>VLOOKUP(A61,'2. Intervences kategorijas - Pa'!B:D,2,FALSE)</f>
        <v>11 - Publisko iestāžu un ieinteresēto personu institucionālo spēju uzlabošana un efektīva valsts pārvalde</v>
      </c>
      <c r="H61" s="171">
        <f>Pasākumu_līmenis!F44</f>
        <v>6954373</v>
      </c>
      <c r="I61" s="171">
        <f>Pasākumu_līmenis!G44</f>
        <v>0</v>
      </c>
      <c r="J61" s="171">
        <f>Pasākumu_līmenis!H44</f>
        <v>6954373</v>
      </c>
      <c r="K61" s="171">
        <f>Pasākumu_līmenis!I44</f>
        <v>453602</v>
      </c>
      <c r="L61" s="171">
        <f>Pasākumu_līmenis!J44</f>
        <v>6888432.3399999999</v>
      </c>
      <c r="M61" s="172">
        <f t="shared" ref="M61:M62" si="35">L61/$H61</f>
        <v>0.99051810134429086</v>
      </c>
      <c r="N61" s="172">
        <f t="shared" ref="N61:N62" si="36">M61-R61</f>
        <v>0</v>
      </c>
      <c r="O61" s="172">
        <f t="shared" ref="O61:O62" si="37">IFERROR(((L61-Q61)/Q61),0)</f>
        <v>0</v>
      </c>
      <c r="P61" s="171">
        <f>Pasākumu_līmenis!N44</f>
        <v>4</v>
      </c>
      <c r="Q61" s="171">
        <v>6888432.3399999999</v>
      </c>
      <c r="R61" s="179">
        <v>0.99051810134429086</v>
      </c>
      <c r="S61" s="171">
        <f>Pasākumu_līmenis!Q44</f>
        <v>6888432.3399999999</v>
      </c>
      <c r="T61" s="172">
        <f t="shared" ref="T61:T62" si="38">S61/$H61</f>
        <v>0.99051810134429086</v>
      </c>
      <c r="U61" s="172">
        <f t="shared" ref="U61:U62" si="39">T61-Y61</f>
        <v>0</v>
      </c>
      <c r="V61" s="172">
        <f t="shared" ref="V61:V62" si="40">IFERROR(((S61-X61)/X61),0)</f>
        <v>0</v>
      </c>
      <c r="W61" s="171">
        <f>Pasākumu_līmenis!U44</f>
        <v>4</v>
      </c>
      <c r="X61" s="171">
        <v>6888432.3399999999</v>
      </c>
      <c r="Y61" s="172">
        <v>0.99051810134429086</v>
      </c>
      <c r="Z61" s="171">
        <f>Pasākumu_līmenis!X44</f>
        <v>6888432.3399999999</v>
      </c>
      <c r="AA61" s="172">
        <f t="shared" ref="AA61:AA62" si="41">Z61/$H61</f>
        <v>0.99051810134429086</v>
      </c>
      <c r="AB61" s="172">
        <f t="shared" ref="AB61:AB62" si="42">AA61-AF61</f>
        <v>0</v>
      </c>
      <c r="AC61" s="172">
        <f t="shared" ref="AC61:AC62" si="43">IFERROR(((Z61-AE61)/AE61),0)</f>
        <v>0</v>
      </c>
      <c r="AD61" s="171">
        <f>Pasākumu_līmenis!AB44</f>
        <v>4</v>
      </c>
      <c r="AE61" s="171">
        <v>6888432.3399999999</v>
      </c>
      <c r="AF61" s="179">
        <v>0.99051810134429086</v>
      </c>
      <c r="AG61" s="171">
        <f>Pasākumu_līmenis!AE44</f>
        <v>6888432.3399999999</v>
      </c>
      <c r="AH61" s="172">
        <f t="shared" ref="AH61:AH62" si="44">AG61/$H61</f>
        <v>0.99051810134429086</v>
      </c>
      <c r="AI61" s="172">
        <f t="shared" ref="AI61:AI62" si="45">AH61-AL61</f>
        <v>0</v>
      </c>
      <c r="AJ61" s="172">
        <f t="shared" ref="AJ61:AJ62" si="46">IFERROR(((AG61-AK61)/AK61),0)</f>
        <v>0</v>
      </c>
      <c r="AK61" s="171">
        <v>6888432.3399999999</v>
      </c>
      <c r="AL61" s="172">
        <v>0.99051810134429086</v>
      </c>
    </row>
    <row r="62" spans="1:38" ht="21" customHeight="1" x14ac:dyDescent="0.3">
      <c r="A62" s="259" t="s">
        <v>457</v>
      </c>
      <c r="B62" s="260" t="str">
        <f>VLOOKUP(A62,saīsinājumi_LV_ENG!A:G,5,FALSE)</f>
        <v>Sociālā dialoga veidošana</v>
      </c>
      <c r="C62" s="95" t="s">
        <v>459</v>
      </c>
      <c r="D62" s="12"/>
      <c r="E62" s="97" t="s">
        <v>346</v>
      </c>
      <c r="F62" s="97" t="s">
        <v>354</v>
      </c>
      <c r="G62" s="283" t="str">
        <f>VLOOKUP(A62,'2. Intervences kategorijas - Pa'!B:D,2,FALSE)</f>
        <v>11 - Publisko iestāžu un ieinteresēto personu institucionālo spēju uzlabošana un efektīva valsts pārvalde</v>
      </c>
      <c r="H62" s="171">
        <f>Pasākumu_līmenis!F45</f>
        <v>1275000</v>
      </c>
      <c r="I62" s="171">
        <f>Pasākumu_līmenis!G45</f>
        <v>0</v>
      </c>
      <c r="J62" s="171">
        <f>Pasākumu_līmenis!H45</f>
        <v>1275000</v>
      </c>
      <c r="K62" s="171">
        <f>Pasākumu_līmenis!I45</f>
        <v>79286.167571177401</v>
      </c>
      <c r="L62" s="171">
        <f>Pasākumu_līmenis!J45</f>
        <v>1273647.76</v>
      </c>
      <c r="M62" s="172">
        <f t="shared" si="35"/>
        <v>0.99893941960784316</v>
      </c>
      <c r="N62" s="172">
        <f t="shared" si="36"/>
        <v>0</v>
      </c>
      <c r="O62" s="172">
        <f t="shared" si="37"/>
        <v>0</v>
      </c>
      <c r="P62" s="171">
        <f>Pasākumu_līmenis!N45</f>
        <v>2</v>
      </c>
      <c r="Q62" s="171">
        <v>1273647.76</v>
      </c>
      <c r="R62" s="179">
        <v>0.99893941960784316</v>
      </c>
      <c r="S62" s="171">
        <f>Pasākumu_līmenis!Q45</f>
        <v>1273647.76</v>
      </c>
      <c r="T62" s="172">
        <f t="shared" si="38"/>
        <v>0.99893941960784316</v>
      </c>
      <c r="U62" s="172">
        <f t="shared" si="39"/>
        <v>0</v>
      </c>
      <c r="V62" s="172">
        <f t="shared" si="40"/>
        <v>0</v>
      </c>
      <c r="W62" s="171">
        <f>Pasākumu_līmenis!U45</f>
        <v>2</v>
      </c>
      <c r="X62" s="171">
        <v>1273647.76</v>
      </c>
      <c r="Y62" s="172">
        <v>0.99893941960784316</v>
      </c>
      <c r="Z62" s="171">
        <f>Pasākumu_līmenis!X45</f>
        <v>1273647.76</v>
      </c>
      <c r="AA62" s="172">
        <f t="shared" si="41"/>
        <v>0.99893941960784316</v>
      </c>
      <c r="AB62" s="172">
        <f t="shared" si="42"/>
        <v>0</v>
      </c>
      <c r="AC62" s="172">
        <f t="shared" si="43"/>
        <v>0</v>
      </c>
      <c r="AD62" s="171">
        <f>Pasākumu_līmenis!AB45</f>
        <v>2</v>
      </c>
      <c r="AE62" s="171">
        <v>1273647.76</v>
      </c>
      <c r="AF62" s="179">
        <v>0.99893941960784316</v>
      </c>
      <c r="AG62" s="171">
        <f>Pasākumu_līmenis!AE45</f>
        <v>1273647.76</v>
      </c>
      <c r="AH62" s="172">
        <f t="shared" si="44"/>
        <v>0.99893941960784316</v>
      </c>
      <c r="AI62" s="172">
        <f t="shared" si="45"/>
        <v>0</v>
      </c>
      <c r="AJ62" s="172">
        <f t="shared" si="46"/>
        <v>0</v>
      </c>
      <c r="AK62" s="171">
        <v>1273647.76</v>
      </c>
      <c r="AL62" s="172">
        <v>0.99893941960784316</v>
      </c>
    </row>
    <row r="63" spans="1:38" ht="56.25" x14ac:dyDescent="0.3">
      <c r="A63" s="259" t="s">
        <v>1242</v>
      </c>
      <c r="B63" s="260" t="str">
        <f>VLOOKUP(A63,saīsinājumi_LV_ENG!A:G,5,FALSE)</f>
        <v>Publisko pakalpojumu pārveides metodoloģijas izstrāde un aprobācija</v>
      </c>
      <c r="C63" s="95"/>
      <c r="D63" s="12"/>
      <c r="E63" s="97" t="s">
        <v>346</v>
      </c>
      <c r="F63" s="97" t="s">
        <v>354</v>
      </c>
      <c r="G63" s="283" t="str">
        <f>VLOOKUP(A63,'2. Intervences kategorijas - Pa'!B:D,2,FALSE)</f>
        <v>11 - Publisko iestāžu un ieinteresēto personu institucionālo spēju uzlabošana un efektīva valsts pārvalde</v>
      </c>
      <c r="H63" s="171">
        <f>Pasākumu_līmenis!F46</f>
        <v>340000</v>
      </c>
      <c r="I63" s="171">
        <f>Pasākumu_līmenis!G46</f>
        <v>0</v>
      </c>
      <c r="J63" s="171">
        <f>Pasākumu_līmenis!H46</f>
        <v>340000</v>
      </c>
      <c r="K63" s="171">
        <f>Pasākumu_līmenis!I46</f>
        <v>0</v>
      </c>
      <c r="L63" s="171">
        <f>Pasākumu_līmenis!J46</f>
        <v>338932.05</v>
      </c>
      <c r="M63" s="172">
        <f t="shared" ref="M63" si="47">L63/$H63</f>
        <v>0.99685897058823525</v>
      </c>
      <c r="N63" s="172">
        <f t="shared" ref="N63" si="48">M63-R63</f>
        <v>0</v>
      </c>
      <c r="O63" s="172">
        <f t="shared" ref="O63" si="49">IFERROR(((L63-Q63)/Q63),0)</f>
        <v>0</v>
      </c>
      <c r="P63" s="171">
        <f>Pasākumu_līmenis!N46</f>
        <v>1</v>
      </c>
      <c r="Q63" s="171">
        <v>338932.05</v>
      </c>
      <c r="R63" s="179">
        <v>0.99685897058823525</v>
      </c>
      <c r="S63" s="171">
        <f>Pasākumu_līmenis!Q46</f>
        <v>338932.05</v>
      </c>
      <c r="T63" s="172">
        <f t="shared" ref="T63" si="50">S63/$H63</f>
        <v>0.99685897058823525</v>
      </c>
      <c r="U63" s="172">
        <f t="shared" ref="U63" si="51">T63-Y63</f>
        <v>0</v>
      </c>
      <c r="V63" s="172">
        <f t="shared" ref="V63" si="52">IFERROR(((S63-X63)/X63),0)</f>
        <v>0</v>
      </c>
      <c r="W63" s="171">
        <f>Pasākumu_līmenis!U46</f>
        <v>1</v>
      </c>
      <c r="X63" s="171">
        <v>338932.05</v>
      </c>
      <c r="Y63" s="172">
        <v>0.99685897058823525</v>
      </c>
      <c r="Z63" s="171">
        <f>Pasākumu_līmenis!X46</f>
        <v>338932.05</v>
      </c>
      <c r="AA63" s="172">
        <f t="shared" ref="AA63" si="53">Z63/$H63</f>
        <v>0.99685897058823525</v>
      </c>
      <c r="AB63" s="172">
        <f t="shared" ref="AB63" si="54">AA63-AF63</f>
        <v>0</v>
      </c>
      <c r="AC63" s="172">
        <f t="shared" ref="AC63" si="55">IFERROR(((Z63-AE63)/AE63),0)</f>
        <v>0</v>
      </c>
      <c r="AD63" s="171">
        <f>Pasākumu_līmenis!AB46</f>
        <v>1</v>
      </c>
      <c r="AE63" s="171">
        <v>338932.05</v>
      </c>
      <c r="AF63" s="179">
        <v>0.99685897058823525</v>
      </c>
      <c r="AG63" s="171">
        <f>Pasākumu_līmenis!AE46</f>
        <v>338932.05</v>
      </c>
      <c r="AH63" s="172">
        <f t="shared" ref="AH63" si="56">AG63/$H63</f>
        <v>0.99685897058823525</v>
      </c>
      <c r="AI63" s="172">
        <f t="shared" ref="AI63" si="57">AH63-AL63</f>
        <v>0</v>
      </c>
      <c r="AJ63" s="172">
        <f t="shared" ref="AJ63" si="58">IFERROR(((AG63-AK63)/AK63),0)</f>
        <v>0</v>
      </c>
      <c r="AK63" s="171">
        <v>338932.05</v>
      </c>
      <c r="AL63" s="172">
        <v>0.99685897058823525</v>
      </c>
    </row>
    <row r="64" spans="1:38" ht="28.5" customHeight="1" x14ac:dyDescent="0.3">
      <c r="A64" s="249" t="s">
        <v>29</v>
      </c>
      <c r="B64" s="250" t="str">
        <f>VLOOKUP(A64,saīsinājumi_LV_ENG!A:G,5,FALSE)</f>
        <v>Videi draudzīga ekonomika</v>
      </c>
      <c r="C64" s="10" t="s">
        <v>30</v>
      </c>
      <c r="D64" s="227"/>
      <c r="E64" s="68"/>
      <c r="F64" s="68"/>
      <c r="G64" s="281"/>
      <c r="H64" s="228">
        <f>H65+H67+H72+H74+H76</f>
        <v>645831597</v>
      </c>
      <c r="I64" s="228">
        <f>I65+I67+I72+I74+I76</f>
        <v>61392669</v>
      </c>
      <c r="J64" s="228">
        <f>J65+J67+J72+J74+J76</f>
        <v>707224266</v>
      </c>
      <c r="K64" s="228">
        <f>K65+K67+K72+K74+K76</f>
        <v>15543636.724113045</v>
      </c>
      <c r="L64" s="228">
        <f>L65+L67+L72+L74+L76</f>
        <v>639013769.3900001</v>
      </c>
      <c r="M64" s="229">
        <f t="shared" si="14"/>
        <v>0.98944333531888207</v>
      </c>
      <c r="N64" s="229">
        <f t="shared" si="15"/>
        <v>0</v>
      </c>
      <c r="O64" s="229">
        <f t="shared" si="22"/>
        <v>0</v>
      </c>
      <c r="P64" s="228">
        <f>P65+P67+P72+P74+P76</f>
        <v>504</v>
      </c>
      <c r="Q64" s="177">
        <v>639013769.3900001</v>
      </c>
      <c r="R64" s="178">
        <v>0.98944333531888207</v>
      </c>
      <c r="S64" s="228">
        <f>S65+S67+S72+S74+S76</f>
        <v>639013769.3900001</v>
      </c>
      <c r="T64" s="229">
        <f t="shared" si="16"/>
        <v>0.98944333531888207</v>
      </c>
      <c r="U64" s="229">
        <f t="shared" si="17"/>
        <v>0</v>
      </c>
      <c r="V64" s="229">
        <f t="shared" si="23"/>
        <v>0</v>
      </c>
      <c r="W64" s="228">
        <f>W65+W67+W72+W74+W76</f>
        <v>504</v>
      </c>
      <c r="X64" s="228">
        <v>639013769.3900001</v>
      </c>
      <c r="Y64" s="229">
        <v>0.98944333531888207</v>
      </c>
      <c r="Z64" s="228">
        <f>Z65+Z67+Z72+Z74+Z76</f>
        <v>639013769.3900001</v>
      </c>
      <c r="AA64" s="229">
        <f t="shared" si="18"/>
        <v>0.98944333531888207</v>
      </c>
      <c r="AB64" s="229">
        <f t="shared" si="19"/>
        <v>0</v>
      </c>
      <c r="AC64" s="229">
        <f t="shared" si="1"/>
        <v>0</v>
      </c>
      <c r="AD64" s="228">
        <f>AD65+AD67+AD72+AD74+AD76</f>
        <v>504</v>
      </c>
      <c r="AE64" s="177">
        <v>639013769.3900001</v>
      </c>
      <c r="AF64" s="178">
        <v>0.98944333531888207</v>
      </c>
      <c r="AG64" s="228">
        <f>AG65+AG67+AG72+AG74+AG76</f>
        <v>639486621.72000003</v>
      </c>
      <c r="AH64" s="229">
        <f t="shared" si="20"/>
        <v>0.99017549573375863</v>
      </c>
      <c r="AI64" s="229">
        <f t="shared" si="21"/>
        <v>1.3123173346385464E-4</v>
      </c>
      <c r="AJ64" s="229">
        <f t="shared" si="3"/>
        <v>1.3255138000960246E-4</v>
      </c>
      <c r="AK64" s="228">
        <v>639401868.12</v>
      </c>
      <c r="AL64" s="229">
        <v>0.99004426400029477</v>
      </c>
    </row>
    <row r="65" spans="1:38" ht="59.25" customHeight="1" x14ac:dyDescent="0.3">
      <c r="A65" s="251" t="s">
        <v>31</v>
      </c>
      <c r="B65" s="252" t="str">
        <f>VLOOKUP(A65,saīsinājumi_LV_ENG!A:G,5,FALSE)</f>
        <v>Energoefektivitāte un atjaunojamie energoresursi uzņēmumos</v>
      </c>
      <c r="C65" s="217" t="s">
        <v>43</v>
      </c>
      <c r="D65" s="217" t="str">
        <f ca="1">IFERROR(IF((VLOOKUP(A65,Pasākumu_līmenis!A:H,3,0))=0,"",VLOOKUP(A65,Pasākumu_līmenis!A:H,3,0)),"")</f>
        <v/>
      </c>
      <c r="E65" s="219"/>
      <c r="F65" s="219"/>
      <c r="G65" s="277"/>
      <c r="H65" s="220">
        <f>H66</f>
        <v>20301399</v>
      </c>
      <c r="I65" s="220">
        <f>I66</f>
        <v>0</v>
      </c>
      <c r="J65" s="220">
        <f>J66</f>
        <v>20301399</v>
      </c>
      <c r="K65" s="220">
        <f>K66</f>
        <v>0</v>
      </c>
      <c r="L65" s="220">
        <f>L66</f>
        <v>18616425.510000002</v>
      </c>
      <c r="M65" s="221">
        <f t="shared" si="14"/>
        <v>0.9170020997075129</v>
      </c>
      <c r="N65" s="221">
        <f t="shared" si="15"/>
        <v>0</v>
      </c>
      <c r="O65" s="221">
        <f t="shared" si="22"/>
        <v>0</v>
      </c>
      <c r="P65" s="220">
        <f>P66</f>
        <v>69</v>
      </c>
      <c r="Q65" s="220">
        <v>18616425.510000002</v>
      </c>
      <c r="R65" s="221">
        <v>0.9170020997075129</v>
      </c>
      <c r="S65" s="220">
        <f>S66</f>
        <v>18616425.510000002</v>
      </c>
      <c r="T65" s="221">
        <f t="shared" si="16"/>
        <v>0.9170020997075129</v>
      </c>
      <c r="U65" s="221">
        <f t="shared" si="17"/>
        <v>0</v>
      </c>
      <c r="V65" s="221">
        <f t="shared" si="23"/>
        <v>0</v>
      </c>
      <c r="W65" s="220">
        <f>W66</f>
        <v>69</v>
      </c>
      <c r="X65" s="220">
        <v>18616425.510000002</v>
      </c>
      <c r="Y65" s="221">
        <v>0.9170020997075129</v>
      </c>
      <c r="Z65" s="220">
        <f>Z66</f>
        <v>18616425.510000002</v>
      </c>
      <c r="AA65" s="221">
        <f t="shared" si="18"/>
        <v>0.9170020997075129</v>
      </c>
      <c r="AB65" s="221">
        <f t="shared" si="19"/>
        <v>0</v>
      </c>
      <c r="AC65" s="221">
        <f t="shared" si="1"/>
        <v>0</v>
      </c>
      <c r="AD65" s="220">
        <f>AD66</f>
        <v>69</v>
      </c>
      <c r="AE65" s="220">
        <v>18616425.510000002</v>
      </c>
      <c r="AF65" s="221">
        <v>0.9170020997075129</v>
      </c>
      <c r="AG65" s="220">
        <f>AG66</f>
        <v>18616425.510000002</v>
      </c>
      <c r="AH65" s="221">
        <f t="shared" si="20"/>
        <v>0.9170020997075129</v>
      </c>
      <c r="AI65" s="221">
        <f t="shared" si="21"/>
        <v>0</v>
      </c>
      <c r="AJ65" s="221">
        <f t="shared" si="3"/>
        <v>0</v>
      </c>
      <c r="AK65" s="220">
        <v>18616425.510000002</v>
      </c>
      <c r="AL65" s="221">
        <v>0.9170020997075129</v>
      </c>
    </row>
    <row r="66" spans="1:38" ht="39.75" customHeight="1" x14ac:dyDescent="0.3">
      <c r="A66" s="257" t="s">
        <v>264</v>
      </c>
      <c r="B66" s="256" t="str">
        <f>VLOOKUP(A66,saīsinājumi_LV_ENG!A:G,5,FALSE)</f>
        <v>Apstrādes rūpniecības uzņēmumu energoefektivitāte</v>
      </c>
      <c r="C66" s="12" t="s">
        <v>44</v>
      </c>
      <c r="D66" s="44"/>
      <c r="E66" s="40" t="str">
        <f>Pasākumu_līmenis!D48</f>
        <v>KF</v>
      </c>
      <c r="F66" s="40" t="str">
        <f>Pasākumu_līmenis!E48</f>
        <v>EM</v>
      </c>
      <c r="G66" s="279" t="str">
        <f>VLOOKUP(A66,'2. Intervences kategorijas - Pa'!B:D,2,FALSE)</f>
        <v>04 - Atbalstīt pāreju uz zemu oglekļa emisiju ekonomiku visās nozarēs</v>
      </c>
      <c r="H66" s="171">
        <f>Pasākumu_līmenis!F48</f>
        <v>20301399</v>
      </c>
      <c r="I66" s="171">
        <f>Pasākumu_līmenis!G48</f>
        <v>0</v>
      </c>
      <c r="J66" s="171">
        <f>Pasākumu_līmenis!H48</f>
        <v>20301399</v>
      </c>
      <c r="K66" s="171">
        <f>Pasākumu_līmenis!I48</f>
        <v>0</v>
      </c>
      <c r="L66" s="171">
        <f>Pasākumu_līmenis!J48</f>
        <v>18616425.510000002</v>
      </c>
      <c r="M66" s="172">
        <f t="shared" si="14"/>
        <v>0.9170020997075129</v>
      </c>
      <c r="N66" s="172">
        <f t="shared" si="15"/>
        <v>0</v>
      </c>
      <c r="O66" s="172">
        <f t="shared" si="22"/>
        <v>0</v>
      </c>
      <c r="P66" s="171">
        <f>Pasākumu_līmenis!N48</f>
        <v>69</v>
      </c>
      <c r="Q66" s="171">
        <v>18616425.510000002</v>
      </c>
      <c r="R66" s="172">
        <v>0.9170020997075129</v>
      </c>
      <c r="S66" s="171">
        <f>Pasākumu_līmenis!Q48</f>
        <v>18616425.510000002</v>
      </c>
      <c r="T66" s="172">
        <f t="shared" si="16"/>
        <v>0.9170020997075129</v>
      </c>
      <c r="U66" s="172">
        <f t="shared" si="17"/>
        <v>0</v>
      </c>
      <c r="V66" s="172">
        <f t="shared" si="23"/>
        <v>0</v>
      </c>
      <c r="W66" s="171">
        <f>Pasākumu_līmenis!U48</f>
        <v>69</v>
      </c>
      <c r="X66" s="171">
        <v>18616425.510000002</v>
      </c>
      <c r="Y66" s="172">
        <v>0.9170020997075129</v>
      </c>
      <c r="Z66" s="171">
        <f>Pasākumu_līmenis!X48</f>
        <v>18616425.510000002</v>
      </c>
      <c r="AA66" s="172">
        <f t="shared" si="18"/>
        <v>0.9170020997075129</v>
      </c>
      <c r="AB66" s="172">
        <f t="shared" si="19"/>
        <v>0</v>
      </c>
      <c r="AC66" s="172">
        <f t="shared" si="1"/>
        <v>0</v>
      </c>
      <c r="AD66" s="171">
        <f>Pasākumu_līmenis!AB48</f>
        <v>69</v>
      </c>
      <c r="AE66" s="171">
        <v>18616425.510000002</v>
      </c>
      <c r="AF66" s="172">
        <v>0.9170020997075129</v>
      </c>
      <c r="AG66" s="171">
        <f>Pasākumu_līmenis!AE48</f>
        <v>18616425.510000002</v>
      </c>
      <c r="AH66" s="172">
        <f t="shared" si="20"/>
        <v>0.9170020997075129</v>
      </c>
      <c r="AI66" s="172">
        <f t="shared" si="21"/>
        <v>0</v>
      </c>
      <c r="AJ66" s="172">
        <f t="shared" si="3"/>
        <v>0</v>
      </c>
      <c r="AK66" s="171">
        <v>18616425.510000002</v>
      </c>
      <c r="AL66" s="172">
        <v>0.9170020997075129</v>
      </c>
    </row>
    <row r="67" spans="1:38" ht="39.75" customHeight="1" x14ac:dyDescent="0.3">
      <c r="A67" s="251" t="s">
        <v>32</v>
      </c>
      <c r="B67" s="252" t="str">
        <f>VLOOKUP(A67,saīsinājumi_LV_ENG!A:G,5,FALSE)</f>
        <v xml:space="preserve">Dzīvojamo un valsts ēku energoefektivitāte </v>
      </c>
      <c r="C67" s="231" t="s">
        <v>42</v>
      </c>
      <c r="D67" s="217" t="str">
        <f ca="1">IFERROR(IF((VLOOKUP(A67,Pasākumu_līmenis!A:H,3,0))=0,"",VLOOKUP(A67,Pasākumu_līmenis!A:H,3,0)),"")</f>
        <v/>
      </c>
      <c r="E67" s="219"/>
      <c r="F67" s="219" t="str">
        <f>Pasākumu_līmenis!E49</f>
        <v>EM</v>
      </c>
      <c r="G67" s="277"/>
      <c r="H67" s="220">
        <f>H68+H71</f>
        <v>283962784</v>
      </c>
      <c r="I67" s="220">
        <f>I68+I71</f>
        <v>4842669</v>
      </c>
      <c r="J67" s="220">
        <f>J68+J71</f>
        <v>288805453</v>
      </c>
      <c r="K67" s="220">
        <f>K68+K71</f>
        <v>5106879.8170615546</v>
      </c>
      <c r="L67" s="220">
        <f>L68+L71</f>
        <v>277499854.61000001</v>
      </c>
      <c r="M67" s="221">
        <f t="shared" si="14"/>
        <v>0.97724022388088716</v>
      </c>
      <c r="N67" s="221">
        <f t="shared" si="15"/>
        <v>0</v>
      </c>
      <c r="O67" s="221">
        <f t="shared" si="22"/>
        <v>0</v>
      </c>
      <c r="P67" s="220">
        <f>P68+P71</f>
        <v>287</v>
      </c>
      <c r="Q67" s="220">
        <v>277499854.61000001</v>
      </c>
      <c r="R67" s="221">
        <v>0.97724022388088716</v>
      </c>
      <c r="S67" s="220">
        <f>S68+S71</f>
        <v>277499854.61000001</v>
      </c>
      <c r="T67" s="221">
        <f t="shared" si="16"/>
        <v>0.97724022388088716</v>
      </c>
      <c r="U67" s="221">
        <f t="shared" si="17"/>
        <v>0</v>
      </c>
      <c r="V67" s="221">
        <f t="shared" si="23"/>
        <v>0</v>
      </c>
      <c r="W67" s="220">
        <f>W68+W71</f>
        <v>287</v>
      </c>
      <c r="X67" s="220">
        <v>277499854.61000001</v>
      </c>
      <c r="Y67" s="221">
        <v>0.97724022388088716</v>
      </c>
      <c r="Z67" s="220">
        <f>Z68+Z71</f>
        <v>277499854.61000001</v>
      </c>
      <c r="AA67" s="221">
        <f t="shared" si="18"/>
        <v>0.97724022388088716</v>
      </c>
      <c r="AB67" s="221">
        <f t="shared" si="19"/>
        <v>0</v>
      </c>
      <c r="AC67" s="221">
        <f t="shared" si="1"/>
        <v>0</v>
      </c>
      <c r="AD67" s="220">
        <f>AD68+AD71</f>
        <v>287</v>
      </c>
      <c r="AE67" s="220">
        <v>277499854.61000001</v>
      </c>
      <c r="AF67" s="221">
        <v>0.97724022388088716</v>
      </c>
      <c r="AG67" s="220">
        <f>AG68+AG71</f>
        <v>276322819.80000001</v>
      </c>
      <c r="AH67" s="221">
        <f t="shared" si="20"/>
        <v>0.973095191938955</v>
      </c>
      <c r="AI67" s="221">
        <f t="shared" si="21"/>
        <v>0</v>
      </c>
      <c r="AJ67" s="221">
        <f t="shared" si="3"/>
        <v>0</v>
      </c>
      <c r="AK67" s="220">
        <v>276322819.80000001</v>
      </c>
      <c r="AL67" s="221">
        <v>0.973095191938955</v>
      </c>
    </row>
    <row r="68" spans="1:38" ht="39.75" customHeight="1" x14ac:dyDescent="0.3">
      <c r="A68" s="253" t="s">
        <v>435</v>
      </c>
      <c r="B68" s="254" t="str">
        <f>VLOOKUP(A68,saīsinājumi_LV_ENG!A:G,5,FALSE)</f>
        <v xml:space="preserve">Dzīvojamo un valsts ēku energoefektivitāte </v>
      </c>
      <c r="C68" s="222" t="s">
        <v>34</v>
      </c>
      <c r="D68" s="222" t="str">
        <f ca="1">IFERROR(IF((VLOOKUP(A68,Pasākumu_līmenis!A:H,3,0))=0,"",VLOOKUP(A68,Pasākumu_līmenis!A:H,3,0)),"")</f>
        <v/>
      </c>
      <c r="E68" s="224"/>
      <c r="F68" s="224"/>
      <c r="G68" s="278"/>
      <c r="H68" s="225">
        <f>SUM(H69:H70)</f>
        <v>234851289</v>
      </c>
      <c r="I68" s="225">
        <f>SUM(I69:I70)</f>
        <v>0</v>
      </c>
      <c r="J68" s="225">
        <f>SUM(J69:J70)</f>
        <v>234851289</v>
      </c>
      <c r="K68" s="225">
        <f>SUM(K69:K70)</f>
        <v>3192016</v>
      </c>
      <c r="L68" s="225">
        <f>SUM(L69:L70)</f>
        <v>227104024.73000002</v>
      </c>
      <c r="M68" s="226">
        <f t="shared" si="14"/>
        <v>0.96701204279956077</v>
      </c>
      <c r="N68" s="226">
        <f t="shared" si="15"/>
        <v>0</v>
      </c>
      <c r="O68" s="226">
        <f t="shared" si="22"/>
        <v>0</v>
      </c>
      <c r="P68" s="225">
        <f>SUM(P69:P70)</f>
        <v>130</v>
      </c>
      <c r="Q68" s="225">
        <v>227104024.73000002</v>
      </c>
      <c r="R68" s="226">
        <v>0.96701204279956077</v>
      </c>
      <c r="S68" s="225">
        <f>SUM(S69:S70)</f>
        <v>227104024.73000002</v>
      </c>
      <c r="T68" s="226">
        <f t="shared" si="16"/>
        <v>0.96701204279956077</v>
      </c>
      <c r="U68" s="226">
        <f t="shared" si="17"/>
        <v>0</v>
      </c>
      <c r="V68" s="226">
        <f t="shared" si="23"/>
        <v>0</v>
      </c>
      <c r="W68" s="225">
        <f>SUM(W69:W70)</f>
        <v>130</v>
      </c>
      <c r="X68" s="225">
        <v>227104024.73000002</v>
      </c>
      <c r="Y68" s="226">
        <v>0.96701204279956077</v>
      </c>
      <c r="Z68" s="225">
        <f>SUM(Z69:Z70)</f>
        <v>227104024.73000002</v>
      </c>
      <c r="AA68" s="226">
        <f t="shared" si="18"/>
        <v>0.96701204279956077</v>
      </c>
      <c r="AB68" s="226">
        <f t="shared" si="19"/>
        <v>0</v>
      </c>
      <c r="AC68" s="226">
        <f t="shared" si="1"/>
        <v>0</v>
      </c>
      <c r="AD68" s="225">
        <f>SUM(AD69:AD70)</f>
        <v>130</v>
      </c>
      <c r="AE68" s="225">
        <v>227104024.73000002</v>
      </c>
      <c r="AF68" s="226">
        <v>0.96701204279956077</v>
      </c>
      <c r="AG68" s="225">
        <f>SUM(AG69:AG70)</f>
        <v>226016182.56</v>
      </c>
      <c r="AH68" s="226">
        <f t="shared" si="20"/>
        <v>0.96237999596416945</v>
      </c>
      <c r="AI68" s="226">
        <f t="shared" si="21"/>
        <v>0</v>
      </c>
      <c r="AJ68" s="226">
        <f t="shared" si="3"/>
        <v>0</v>
      </c>
      <c r="AK68" s="225">
        <v>226016182.56</v>
      </c>
      <c r="AL68" s="226">
        <v>0.96237999596416945</v>
      </c>
    </row>
    <row r="69" spans="1:38" ht="39.75" customHeight="1" x14ac:dyDescent="0.3">
      <c r="A69" s="255" t="s">
        <v>265</v>
      </c>
      <c r="B69" s="256" t="str">
        <f>VLOOKUP(A69,saīsinājumi_LV_ENG!A:G,5,FALSE)</f>
        <v xml:space="preserve">Daudzdzīvokļu māju energoefektivitāte </v>
      </c>
      <c r="C69" s="12" t="s">
        <v>183</v>
      </c>
      <c r="D69" s="12"/>
      <c r="E69" s="40" t="str">
        <f>Pasākumu_līmenis!D49</f>
        <v>ERAF</v>
      </c>
      <c r="F69" s="40" t="str">
        <f>Pasākumu_līmenis!E49</f>
        <v>EM</v>
      </c>
      <c r="G69" s="279" t="str">
        <f>VLOOKUP(A69,'2. Intervences kategorijas - Pa'!B:D,2,FALSE)</f>
        <v>04 - Atbalstīt pāreju uz zemu oglekļa emisiju ekonomiku visās nozarēs</v>
      </c>
      <c r="H69" s="171">
        <f>Pasākumu_līmenis!F49</f>
        <v>141493317</v>
      </c>
      <c r="I69" s="171">
        <f>Pasākumu_līmenis!G49</f>
        <v>0</v>
      </c>
      <c r="J69" s="171">
        <f>Pasākumu_līmenis!H49</f>
        <v>141493317</v>
      </c>
      <c r="K69" s="171">
        <f>Pasākumu_līmenis!I49</f>
        <v>0</v>
      </c>
      <c r="L69" s="171">
        <f>Pasākumu_līmenis!J49</f>
        <v>141432424.83000001</v>
      </c>
      <c r="M69" s="172">
        <f t="shared" si="14"/>
        <v>0.99956964631764211</v>
      </c>
      <c r="N69" s="172">
        <f t="shared" si="15"/>
        <v>0</v>
      </c>
      <c r="O69" s="172">
        <f t="shared" si="22"/>
        <v>0</v>
      </c>
      <c r="P69" s="171">
        <f>Pasākumu_līmenis!N49</f>
        <v>2</v>
      </c>
      <c r="Q69" s="171">
        <v>141432424.83000001</v>
      </c>
      <c r="R69" s="172">
        <v>0.99956964631764211</v>
      </c>
      <c r="S69" s="171">
        <f>Pasākumu_līmenis!Q49</f>
        <v>141432424.83000001</v>
      </c>
      <c r="T69" s="172">
        <f>S69/$H69</f>
        <v>0.99956964631764211</v>
      </c>
      <c r="U69" s="172">
        <f t="shared" si="17"/>
        <v>0</v>
      </c>
      <c r="V69" s="172">
        <f t="shared" si="23"/>
        <v>0</v>
      </c>
      <c r="W69" s="171">
        <f>Pasākumu_līmenis!U49</f>
        <v>2</v>
      </c>
      <c r="X69" s="171">
        <v>141432424.83000001</v>
      </c>
      <c r="Y69" s="172">
        <v>0.99956964631764211</v>
      </c>
      <c r="Z69" s="171">
        <f>Pasākumu_līmenis!X49</f>
        <v>141432424.83000001</v>
      </c>
      <c r="AA69" s="172">
        <f t="shared" si="18"/>
        <v>0.99956964631764211</v>
      </c>
      <c r="AB69" s="172">
        <f t="shared" si="19"/>
        <v>0</v>
      </c>
      <c r="AC69" s="172">
        <f t="shared" si="1"/>
        <v>0</v>
      </c>
      <c r="AD69" s="171">
        <f>Pasākumu_līmenis!AB49</f>
        <v>2</v>
      </c>
      <c r="AE69" s="171">
        <v>141432424.83000001</v>
      </c>
      <c r="AF69" s="172">
        <v>0.99956964631764211</v>
      </c>
      <c r="AG69" s="171">
        <f>Pasākumu_līmenis!AE49</f>
        <v>141017107.65000001</v>
      </c>
      <c r="AH69" s="172">
        <f t="shared" si="20"/>
        <v>0.99663440394149505</v>
      </c>
      <c r="AI69" s="172">
        <f t="shared" si="21"/>
        <v>0</v>
      </c>
      <c r="AJ69" s="172">
        <f t="shared" si="3"/>
        <v>0</v>
      </c>
      <c r="AK69" s="171">
        <v>141017107.65000001</v>
      </c>
      <c r="AL69" s="172">
        <v>0.99663440394149505</v>
      </c>
    </row>
    <row r="70" spans="1:38" ht="21" customHeight="1" x14ac:dyDescent="0.3">
      <c r="A70" s="255" t="s">
        <v>266</v>
      </c>
      <c r="B70" s="256" t="str">
        <f>VLOOKUP(A70,saīsinājumi_LV_ENG!A:G,5,FALSE)</f>
        <v>Valsts ēku energoefektivitāte</v>
      </c>
      <c r="C70" s="12" t="s">
        <v>184</v>
      </c>
      <c r="D70" s="12"/>
      <c r="E70" s="40" t="str">
        <f>Pasākumu_līmenis!D50</f>
        <v>ERAF</v>
      </c>
      <c r="F70" s="40" t="str">
        <f>Pasākumu_līmenis!E50</f>
        <v>EM</v>
      </c>
      <c r="G70" s="279" t="str">
        <f>VLOOKUP(A70,'2. Intervences kategorijas - Pa'!B:D,2,FALSE)</f>
        <v>04 - Atbalstīt pāreju uz zemu oglekļa emisiju ekonomiku visās nozarēs</v>
      </c>
      <c r="H70" s="171">
        <f>Pasākumu_līmenis!F50</f>
        <v>93357972</v>
      </c>
      <c r="I70" s="171">
        <f>Pasākumu_līmenis!G50</f>
        <v>0</v>
      </c>
      <c r="J70" s="171">
        <f>Pasākumu_līmenis!H50</f>
        <v>93357972</v>
      </c>
      <c r="K70" s="171">
        <f>Pasākumu_līmenis!I50</f>
        <v>3192016</v>
      </c>
      <c r="L70" s="171">
        <f>Pasākumu_līmenis!J50</f>
        <v>85671599.900000006</v>
      </c>
      <c r="M70" s="172">
        <f t="shared" si="14"/>
        <v>0.91766774775270399</v>
      </c>
      <c r="N70" s="172">
        <f t="shared" si="15"/>
        <v>0</v>
      </c>
      <c r="O70" s="172">
        <f t="shared" si="22"/>
        <v>0</v>
      </c>
      <c r="P70" s="171">
        <f>Pasākumu_līmenis!N50</f>
        <v>128</v>
      </c>
      <c r="Q70" s="171">
        <v>85671599.900000006</v>
      </c>
      <c r="R70" s="172">
        <v>0.91766774775270399</v>
      </c>
      <c r="S70" s="171">
        <f>Pasākumu_līmenis!Q50</f>
        <v>85671599.900000006</v>
      </c>
      <c r="T70" s="172">
        <f t="shared" si="16"/>
        <v>0.91766774775270399</v>
      </c>
      <c r="U70" s="172">
        <f t="shared" si="17"/>
        <v>0</v>
      </c>
      <c r="V70" s="172">
        <f t="shared" si="23"/>
        <v>0</v>
      </c>
      <c r="W70" s="171">
        <f>Pasākumu_līmenis!U50</f>
        <v>128</v>
      </c>
      <c r="X70" s="171">
        <v>85671599.900000006</v>
      </c>
      <c r="Y70" s="172">
        <v>0.91766774775270399</v>
      </c>
      <c r="Z70" s="171">
        <f>Pasākumu_līmenis!X50</f>
        <v>85671599.900000006</v>
      </c>
      <c r="AA70" s="172">
        <f t="shared" si="18"/>
        <v>0.91766774775270399</v>
      </c>
      <c r="AB70" s="172">
        <f t="shared" si="19"/>
        <v>0</v>
      </c>
      <c r="AC70" s="172">
        <f t="shared" si="1"/>
        <v>0</v>
      </c>
      <c r="AD70" s="171">
        <f>Pasākumu_līmenis!AB50</f>
        <v>128</v>
      </c>
      <c r="AE70" s="171">
        <v>85671599.900000006</v>
      </c>
      <c r="AF70" s="172">
        <v>0.91766774775270399</v>
      </c>
      <c r="AG70" s="171">
        <f>Pasākumu_līmenis!AE50</f>
        <v>84999074.909999996</v>
      </c>
      <c r="AH70" s="172">
        <f t="shared" si="20"/>
        <v>0.91046402453986464</v>
      </c>
      <c r="AI70" s="172">
        <f t="shared" si="21"/>
        <v>0</v>
      </c>
      <c r="AJ70" s="172">
        <f t="shared" si="3"/>
        <v>0</v>
      </c>
      <c r="AK70" s="171">
        <v>84999074.909999996</v>
      </c>
      <c r="AL70" s="172">
        <v>0.91046402453986464</v>
      </c>
    </row>
    <row r="71" spans="1:38" ht="39.75" customHeight="1" x14ac:dyDescent="0.3">
      <c r="A71" s="257" t="s">
        <v>267</v>
      </c>
      <c r="B71" s="256" t="str">
        <f>VLOOKUP(A71,saīsinājumi_LV_ENG!A:G,5,FALSE)</f>
        <v>Pašvaldību ēku energoefektivitāte</v>
      </c>
      <c r="C71" s="12" t="s">
        <v>46</v>
      </c>
      <c r="D71" s="12"/>
      <c r="E71" s="40" t="str">
        <f>Pasākumu_līmenis!D51</f>
        <v>ERAF</v>
      </c>
      <c r="F71" s="40" t="str">
        <f>Pasākumu_līmenis!E51</f>
        <v>VARAM</v>
      </c>
      <c r="G71" s="279" t="str">
        <f>VLOOKUP(A71,'2. Intervences kategorijas - Pa'!B:D,2,FALSE)</f>
        <v>04 - Atbalstīt pāreju uz zemu oglekļa emisiju ekonomiku visās nozarēs</v>
      </c>
      <c r="H71" s="171">
        <f>Pasākumu_līmenis!F51</f>
        <v>49111495</v>
      </c>
      <c r="I71" s="171">
        <f>Pasākumu_līmenis!G51</f>
        <v>4842669</v>
      </c>
      <c r="J71" s="171">
        <f>Pasākumu_līmenis!H51</f>
        <v>53954164</v>
      </c>
      <c r="K71" s="171">
        <f>Pasākumu_līmenis!I51</f>
        <v>1914863.8170615549</v>
      </c>
      <c r="L71" s="171">
        <f>Pasākumu_līmenis!J51</f>
        <v>50395829.879999995</v>
      </c>
      <c r="M71" s="172">
        <f t="shared" si="14"/>
        <v>1.0261514107847867</v>
      </c>
      <c r="N71" s="172">
        <f t="shared" si="15"/>
        <v>0</v>
      </c>
      <c r="O71" s="172">
        <f t="shared" si="22"/>
        <v>0</v>
      </c>
      <c r="P71" s="171">
        <f>Pasākumu_līmenis!N51</f>
        <v>157</v>
      </c>
      <c r="Q71" s="171">
        <v>50395829.879999995</v>
      </c>
      <c r="R71" s="172">
        <v>1.0261514107847867</v>
      </c>
      <c r="S71" s="171">
        <f>Pasākumu_līmenis!Q51</f>
        <v>50395829.879999995</v>
      </c>
      <c r="T71" s="172">
        <f t="shared" si="16"/>
        <v>1.0261514107847867</v>
      </c>
      <c r="U71" s="172">
        <f t="shared" si="17"/>
        <v>0</v>
      </c>
      <c r="V71" s="172">
        <f t="shared" si="23"/>
        <v>0</v>
      </c>
      <c r="W71" s="171">
        <f>Pasākumu_līmenis!U51</f>
        <v>157</v>
      </c>
      <c r="X71" s="171">
        <v>50395829.879999995</v>
      </c>
      <c r="Y71" s="172">
        <v>1.0261514107847867</v>
      </c>
      <c r="Z71" s="171">
        <f>Pasākumu_līmenis!X51</f>
        <v>50395829.879999995</v>
      </c>
      <c r="AA71" s="172">
        <f t="shared" si="18"/>
        <v>1.0261514107847867</v>
      </c>
      <c r="AB71" s="172">
        <f t="shared" si="19"/>
        <v>0</v>
      </c>
      <c r="AC71" s="172">
        <f t="shared" si="1"/>
        <v>0</v>
      </c>
      <c r="AD71" s="171">
        <f>Pasākumu_līmenis!AB51</f>
        <v>157</v>
      </c>
      <c r="AE71" s="171">
        <v>50395829.879999995</v>
      </c>
      <c r="AF71" s="172">
        <v>1.0261514107847867</v>
      </c>
      <c r="AG71" s="171">
        <f>Pasākumu_līmenis!AE51</f>
        <v>50306637.239999995</v>
      </c>
      <c r="AH71" s="172">
        <f t="shared" si="20"/>
        <v>1.0243352852524648</v>
      </c>
      <c r="AI71" s="172">
        <f t="shared" si="21"/>
        <v>0</v>
      </c>
      <c r="AJ71" s="172">
        <f t="shared" si="3"/>
        <v>0</v>
      </c>
      <c r="AK71" s="171">
        <v>50306637.239999995</v>
      </c>
      <c r="AL71" s="172">
        <v>1.0243352852524648</v>
      </c>
    </row>
    <row r="72" spans="1:38" ht="39.75" customHeight="1" x14ac:dyDescent="0.3">
      <c r="A72" s="251" t="s">
        <v>45</v>
      </c>
      <c r="B72" s="252" t="str">
        <f>VLOOKUP(A72,saīsinājumi_LV_ENG!A:G,5,FALSE)</f>
        <v>Atjaunojamo energoresursu izmantošana</v>
      </c>
      <c r="C72" s="217" t="s">
        <v>48</v>
      </c>
      <c r="D72" s="217" t="str">
        <f ca="1">IFERROR(IF((VLOOKUP(A72,Pasākumu_līmenis!A:H,3,0))=0,"",VLOOKUP(A72,Pasākumu_līmenis!A:H,3,0)),"")</f>
        <v/>
      </c>
      <c r="E72" s="219"/>
      <c r="F72" s="219"/>
      <c r="G72" s="277"/>
      <c r="H72" s="220">
        <f>H73</f>
        <v>55030511</v>
      </c>
      <c r="I72" s="220">
        <f>I73</f>
        <v>56550000</v>
      </c>
      <c r="J72" s="220">
        <f>J73</f>
        <v>111580511</v>
      </c>
      <c r="K72" s="220">
        <f>K73</f>
        <v>3290568</v>
      </c>
      <c r="L72" s="220">
        <f>L73</f>
        <v>71161229.680000007</v>
      </c>
      <c r="M72" s="221">
        <f t="shared" si="14"/>
        <v>1.2931231854270808</v>
      </c>
      <c r="N72" s="221">
        <f t="shared" si="15"/>
        <v>0</v>
      </c>
      <c r="O72" s="221">
        <f t="shared" si="22"/>
        <v>0</v>
      </c>
      <c r="P72" s="220">
        <f>P73</f>
        <v>125</v>
      </c>
      <c r="Q72" s="220">
        <v>71161229.680000007</v>
      </c>
      <c r="R72" s="221">
        <v>1.2931231854270808</v>
      </c>
      <c r="S72" s="220">
        <f>S73</f>
        <v>71161229.680000007</v>
      </c>
      <c r="T72" s="221">
        <f t="shared" si="16"/>
        <v>1.2931231854270808</v>
      </c>
      <c r="U72" s="221">
        <f t="shared" si="17"/>
        <v>0</v>
      </c>
      <c r="V72" s="221">
        <f t="shared" si="23"/>
        <v>0</v>
      </c>
      <c r="W72" s="220">
        <f>W73</f>
        <v>125</v>
      </c>
      <c r="X72" s="220">
        <v>71161229.680000007</v>
      </c>
      <c r="Y72" s="221">
        <v>1.2931231854270808</v>
      </c>
      <c r="Z72" s="220">
        <f>Z73</f>
        <v>71161229.680000007</v>
      </c>
      <c r="AA72" s="221">
        <f t="shared" si="18"/>
        <v>1.2931231854270808</v>
      </c>
      <c r="AB72" s="221">
        <f t="shared" si="19"/>
        <v>0</v>
      </c>
      <c r="AC72" s="221">
        <f t="shared" si="1"/>
        <v>0</v>
      </c>
      <c r="AD72" s="220">
        <f>AD73</f>
        <v>125</v>
      </c>
      <c r="AE72" s="220">
        <v>71161229.680000007</v>
      </c>
      <c r="AF72" s="221">
        <v>1.2931231854270808</v>
      </c>
      <c r="AG72" s="220">
        <f>AG73</f>
        <v>72790058.930000007</v>
      </c>
      <c r="AH72" s="221">
        <f t="shared" si="20"/>
        <v>1.3227218429790704</v>
      </c>
      <c r="AI72" s="221">
        <f t="shared" si="21"/>
        <v>-1.5318774706640781E-4</v>
      </c>
      <c r="AJ72" s="221">
        <f t="shared" si="3"/>
        <v>-1.1579910687577508E-4</v>
      </c>
      <c r="AK72" s="220">
        <v>72798488.930000007</v>
      </c>
      <c r="AL72" s="221">
        <v>1.3228750307261368</v>
      </c>
    </row>
    <row r="73" spans="1:38" ht="39.75" customHeight="1" x14ac:dyDescent="0.3">
      <c r="A73" s="257" t="s">
        <v>268</v>
      </c>
      <c r="B73" s="256" t="str">
        <f>VLOOKUP(A73,saīsinājumi_LV_ENG!A:G,5,FALSE)</f>
        <v xml:space="preserve"> Centralizētās siltumapgādes energoefektivitāte</v>
      </c>
      <c r="C73" s="12" t="s">
        <v>49</v>
      </c>
      <c r="D73" s="44"/>
      <c r="E73" s="40" t="str">
        <f>Pasākumu_līmenis!D52</f>
        <v>KF</v>
      </c>
      <c r="F73" s="40" t="str">
        <f>Pasākumu_līmenis!E52</f>
        <v>EM</v>
      </c>
      <c r="G73" s="279" t="str">
        <f>VLOOKUP(A73,'2. Intervences kategorijas - Pa'!B:D,2,FALSE)</f>
        <v>04 - Atbalstīt pāreju uz zemu oglekļa emisiju ekonomiku visās nozarēs</v>
      </c>
      <c r="H73" s="171">
        <f>Pasākumu_līmenis!F52</f>
        <v>55030511</v>
      </c>
      <c r="I73" s="171">
        <f>Pasākumu_līmenis!G52</f>
        <v>56550000</v>
      </c>
      <c r="J73" s="171">
        <f>Pasākumu_līmenis!H52</f>
        <v>111580511</v>
      </c>
      <c r="K73" s="171">
        <f>Pasākumu_līmenis!I52</f>
        <v>3290568</v>
      </c>
      <c r="L73" s="171">
        <f>Pasākumu_līmenis!J52</f>
        <v>71161229.680000007</v>
      </c>
      <c r="M73" s="172">
        <f t="shared" si="14"/>
        <v>1.2931231854270808</v>
      </c>
      <c r="N73" s="172">
        <f t="shared" si="15"/>
        <v>0</v>
      </c>
      <c r="O73" s="172">
        <f t="shared" si="22"/>
        <v>0</v>
      </c>
      <c r="P73" s="171">
        <f>Pasākumu_līmenis!N52</f>
        <v>125</v>
      </c>
      <c r="Q73" s="171">
        <v>71161229.680000007</v>
      </c>
      <c r="R73" s="172">
        <v>1.2931231854270808</v>
      </c>
      <c r="S73" s="171">
        <f>Pasākumu_līmenis!Q52</f>
        <v>71161229.680000007</v>
      </c>
      <c r="T73" s="172">
        <f t="shared" si="16"/>
        <v>1.2931231854270808</v>
      </c>
      <c r="U73" s="172">
        <f t="shared" si="17"/>
        <v>0</v>
      </c>
      <c r="V73" s="172">
        <f t="shared" si="23"/>
        <v>0</v>
      </c>
      <c r="W73" s="171">
        <f>Pasākumu_līmenis!U52</f>
        <v>125</v>
      </c>
      <c r="X73" s="171">
        <v>71161229.680000007</v>
      </c>
      <c r="Y73" s="172">
        <v>1.2931231854270808</v>
      </c>
      <c r="Z73" s="171">
        <f>Pasākumu_līmenis!X52</f>
        <v>71161229.680000007</v>
      </c>
      <c r="AA73" s="172">
        <f t="shared" si="18"/>
        <v>1.2931231854270808</v>
      </c>
      <c r="AB73" s="172">
        <f t="shared" si="19"/>
        <v>0</v>
      </c>
      <c r="AC73" s="172">
        <f t="shared" si="1"/>
        <v>0</v>
      </c>
      <c r="AD73" s="171">
        <f>Pasākumu_līmenis!AB52</f>
        <v>125</v>
      </c>
      <c r="AE73" s="171">
        <v>71161229.680000007</v>
      </c>
      <c r="AF73" s="172">
        <v>1.2931231854270808</v>
      </c>
      <c r="AG73" s="171">
        <f>Pasākumu_līmenis!AE52</f>
        <v>72790058.930000007</v>
      </c>
      <c r="AH73" s="172">
        <f t="shared" si="20"/>
        <v>1.3227218429790704</v>
      </c>
      <c r="AI73" s="172">
        <f t="shared" si="21"/>
        <v>-1.5318774706640781E-4</v>
      </c>
      <c r="AJ73" s="172">
        <f t="shared" si="3"/>
        <v>-1.1579910687577508E-4</v>
      </c>
      <c r="AK73" s="171">
        <v>72798488.930000007</v>
      </c>
      <c r="AL73" s="172">
        <v>1.3228750307261368</v>
      </c>
    </row>
    <row r="74" spans="1:38" ht="39.75" customHeight="1" x14ac:dyDescent="0.3">
      <c r="A74" s="251" t="s">
        <v>47</v>
      </c>
      <c r="B74" s="252" t="str">
        <f>VLOOKUP(A74,saīsinājumi_LV_ENG!A:G,5,FALSE)</f>
        <v>Zemu oglekļa emisiju stratēģijas, īpaši mobilitātei pilsētvidē</v>
      </c>
      <c r="C74" s="217" t="s">
        <v>50</v>
      </c>
      <c r="D74" s="217" t="str">
        <f ca="1">IFERROR(IF((VLOOKUP(A74,Pasākumu_līmenis!A:H,3,0))=0,"",VLOOKUP(A74,Pasākumu_līmenis!A:H,3,0)),"")</f>
        <v/>
      </c>
      <c r="E74" s="219"/>
      <c r="F74" s="219"/>
      <c r="G74" s="277"/>
      <c r="H74" s="220">
        <f>H75</f>
        <v>6631445</v>
      </c>
      <c r="I74" s="220">
        <f>I75</f>
        <v>0</v>
      </c>
      <c r="J74" s="220">
        <f>J75</f>
        <v>6631445</v>
      </c>
      <c r="K74" s="220">
        <f>K75</f>
        <v>432614.80372968898</v>
      </c>
      <c r="L74" s="220">
        <f>L75</f>
        <v>6406845.4299999997</v>
      </c>
      <c r="M74" s="221">
        <f t="shared" si="14"/>
        <v>0.96613112677553681</v>
      </c>
      <c r="N74" s="221">
        <f t="shared" si="15"/>
        <v>0</v>
      </c>
      <c r="O74" s="221">
        <f t="shared" si="22"/>
        <v>0</v>
      </c>
      <c r="P74" s="220">
        <f>P75</f>
        <v>1</v>
      </c>
      <c r="Q74" s="220">
        <v>6406845.4299999997</v>
      </c>
      <c r="R74" s="221">
        <v>0.96613112677553681</v>
      </c>
      <c r="S74" s="220">
        <f>S75</f>
        <v>6406845.4299999997</v>
      </c>
      <c r="T74" s="221">
        <f t="shared" si="16"/>
        <v>0.96613112677553681</v>
      </c>
      <c r="U74" s="221">
        <f t="shared" si="17"/>
        <v>0</v>
      </c>
      <c r="V74" s="221">
        <f t="shared" si="23"/>
        <v>0</v>
      </c>
      <c r="W74" s="220">
        <f>W75</f>
        <v>1</v>
      </c>
      <c r="X74" s="220">
        <v>6406845.4299999997</v>
      </c>
      <c r="Y74" s="221">
        <v>0.96613112677553681</v>
      </c>
      <c r="Z74" s="220">
        <f>Z75</f>
        <v>6406845.4299999997</v>
      </c>
      <c r="AA74" s="221">
        <f t="shared" si="18"/>
        <v>0.96613112677553681</v>
      </c>
      <c r="AB74" s="221">
        <f t="shared" si="19"/>
        <v>0</v>
      </c>
      <c r="AC74" s="221">
        <f t="shared" si="1"/>
        <v>0</v>
      </c>
      <c r="AD74" s="220">
        <f>AD75</f>
        <v>1</v>
      </c>
      <c r="AE74" s="220">
        <v>6406845.4299999997</v>
      </c>
      <c r="AF74" s="221">
        <v>0.96613112677553681</v>
      </c>
      <c r="AG74" s="220">
        <f>AG75</f>
        <v>6406845.4299999997</v>
      </c>
      <c r="AH74" s="221">
        <f t="shared" si="20"/>
        <v>0.96613112677553681</v>
      </c>
      <c r="AI74" s="221">
        <f t="shared" si="21"/>
        <v>0</v>
      </c>
      <c r="AJ74" s="221">
        <f t="shared" si="3"/>
        <v>0</v>
      </c>
      <c r="AK74" s="220">
        <v>6406845.4299999997</v>
      </c>
      <c r="AL74" s="221">
        <v>0.96613112677553681</v>
      </c>
    </row>
    <row r="75" spans="1:38" ht="39.75" customHeight="1" x14ac:dyDescent="0.3">
      <c r="A75" s="257" t="s">
        <v>269</v>
      </c>
      <c r="B75" s="256" t="str">
        <f>VLOOKUP(A75,saīsinājumi_LV_ENG!A:G,5,FALSE)</f>
        <v>Elektro transportlīdzekļu infrastruktūra</v>
      </c>
      <c r="C75" s="12" t="s">
        <v>416</v>
      </c>
      <c r="D75" s="12"/>
      <c r="E75" s="40" t="str">
        <f>Pasākumu_līmenis!D53</f>
        <v>ERAF</v>
      </c>
      <c r="F75" s="40" t="str">
        <f>Pasākumu_līmenis!E53</f>
        <v>SM</v>
      </c>
      <c r="G75" s="279" t="str">
        <f>VLOOKUP(A75,'2. Intervences kategorijas - Pa'!B:D,2,FALSE)</f>
        <v>04 - Atbalstīt pāreju uz zemu oglekļa emisiju ekonomiku visās nozarēs</v>
      </c>
      <c r="H75" s="171">
        <f>Pasākumu_līmenis!F53</f>
        <v>6631445</v>
      </c>
      <c r="I75" s="171">
        <f>Pasākumu_līmenis!G53</f>
        <v>0</v>
      </c>
      <c r="J75" s="171">
        <f>Pasākumu_līmenis!H53</f>
        <v>6631445</v>
      </c>
      <c r="K75" s="171">
        <f>Pasākumu_līmenis!I53</f>
        <v>432614.80372968898</v>
      </c>
      <c r="L75" s="171">
        <f>Pasākumu_līmenis!J53</f>
        <v>6406845.4299999997</v>
      </c>
      <c r="M75" s="172">
        <f t="shared" si="14"/>
        <v>0.96613112677553681</v>
      </c>
      <c r="N75" s="172">
        <f t="shared" si="15"/>
        <v>0</v>
      </c>
      <c r="O75" s="172">
        <f t="shared" si="22"/>
        <v>0</v>
      </c>
      <c r="P75" s="171">
        <f>Pasākumu_līmenis!N53</f>
        <v>1</v>
      </c>
      <c r="Q75" s="171">
        <v>6406845.4299999997</v>
      </c>
      <c r="R75" s="172">
        <v>0.96613112677553681</v>
      </c>
      <c r="S75" s="171">
        <f>Pasākumu_līmenis!Q53</f>
        <v>6406845.4299999997</v>
      </c>
      <c r="T75" s="172">
        <f t="shared" si="16"/>
        <v>0.96613112677553681</v>
      </c>
      <c r="U75" s="172">
        <f t="shared" si="17"/>
        <v>0</v>
      </c>
      <c r="V75" s="172">
        <f t="shared" si="23"/>
        <v>0</v>
      </c>
      <c r="W75" s="171">
        <f>Pasākumu_līmenis!U53</f>
        <v>1</v>
      </c>
      <c r="X75" s="171">
        <v>6406845.4299999997</v>
      </c>
      <c r="Y75" s="172">
        <v>0.96613112677553681</v>
      </c>
      <c r="Z75" s="171">
        <f>Pasākumu_līmenis!X53</f>
        <v>6406845.4299999997</v>
      </c>
      <c r="AA75" s="172">
        <f t="shared" si="18"/>
        <v>0.96613112677553681</v>
      </c>
      <c r="AB75" s="172">
        <f t="shared" si="19"/>
        <v>0</v>
      </c>
      <c r="AC75" s="172">
        <f t="shared" si="1"/>
        <v>0</v>
      </c>
      <c r="AD75" s="171">
        <f>Pasākumu_līmenis!AB53</f>
        <v>1</v>
      </c>
      <c r="AE75" s="171">
        <v>6406845.4299999997</v>
      </c>
      <c r="AF75" s="172">
        <v>0.96613112677553681</v>
      </c>
      <c r="AG75" s="171">
        <f>Pasākumu_līmenis!AE53</f>
        <v>6406845.4299999997</v>
      </c>
      <c r="AH75" s="172">
        <f t="shared" si="20"/>
        <v>0.96613112677553681</v>
      </c>
      <c r="AI75" s="172">
        <f t="shared" si="21"/>
        <v>0</v>
      </c>
      <c r="AJ75" s="172">
        <f t="shared" si="3"/>
        <v>0</v>
      </c>
      <c r="AK75" s="171">
        <v>6406845.4299999997</v>
      </c>
      <c r="AL75" s="172">
        <v>0.96613112677553681</v>
      </c>
    </row>
    <row r="76" spans="1:38" ht="39.75" customHeight="1" x14ac:dyDescent="0.3">
      <c r="A76" s="251" t="s">
        <v>33</v>
      </c>
      <c r="B76" s="252" t="str">
        <f>VLOOKUP(A76,saīsinājumi_LV_ENG!A:G,5,FALSE)</f>
        <v>Zemu oglekļa emisiju stratēģijas, īpaši mobilitātei pilsētvidē</v>
      </c>
      <c r="C76" s="217" t="s">
        <v>50</v>
      </c>
      <c r="D76" s="217" t="str">
        <f ca="1">IFERROR(IF((VLOOKUP(A76,Pasākumu_līmenis!A:H,3,0))=0,"",VLOOKUP(A76,Pasākumu_līmenis!A:H,3,0)),"")</f>
        <v/>
      </c>
      <c r="E76" s="219"/>
      <c r="F76" s="219"/>
      <c r="G76" s="277"/>
      <c r="H76" s="220">
        <f>H77</f>
        <v>279905458</v>
      </c>
      <c r="I76" s="220">
        <f>I77</f>
        <v>0</v>
      </c>
      <c r="J76" s="220">
        <f>J77</f>
        <v>279905458</v>
      </c>
      <c r="K76" s="220">
        <f>K77</f>
        <v>6713574.1033218019</v>
      </c>
      <c r="L76" s="220">
        <f>L77</f>
        <v>265329414.16000003</v>
      </c>
      <c r="M76" s="221">
        <f t="shared" si="14"/>
        <v>0.94792511748734831</v>
      </c>
      <c r="N76" s="221">
        <f t="shared" si="15"/>
        <v>0</v>
      </c>
      <c r="O76" s="221">
        <f t="shared" si="22"/>
        <v>0</v>
      </c>
      <c r="P76" s="220">
        <f>P77</f>
        <v>22</v>
      </c>
      <c r="Q76" s="220">
        <v>265329414.16000003</v>
      </c>
      <c r="R76" s="221">
        <v>0.94792511748734831</v>
      </c>
      <c r="S76" s="220">
        <f>S77</f>
        <v>265329414.16000003</v>
      </c>
      <c r="T76" s="221">
        <f t="shared" si="16"/>
        <v>0.94792511748734831</v>
      </c>
      <c r="U76" s="221">
        <f t="shared" si="17"/>
        <v>0</v>
      </c>
      <c r="V76" s="221">
        <f t="shared" si="23"/>
        <v>0</v>
      </c>
      <c r="W76" s="220">
        <f>W77</f>
        <v>22</v>
      </c>
      <c r="X76" s="220">
        <v>265329414.16000003</v>
      </c>
      <c r="Y76" s="221">
        <v>0.94792511748734831</v>
      </c>
      <c r="Z76" s="220">
        <f>Z77</f>
        <v>265329414.16000003</v>
      </c>
      <c r="AA76" s="221">
        <f t="shared" si="18"/>
        <v>0.94792511748734831</v>
      </c>
      <c r="AB76" s="221">
        <f t="shared" si="19"/>
        <v>0</v>
      </c>
      <c r="AC76" s="221">
        <f t="shared" ref="AC76:AC145" si="59">IFERROR(((Z76-AE76)/AE76),0)</f>
        <v>0</v>
      </c>
      <c r="AD76" s="220">
        <f>AD77</f>
        <v>22</v>
      </c>
      <c r="AE76" s="220">
        <v>265329414.16000003</v>
      </c>
      <c r="AF76" s="221">
        <v>0.94792511748734831</v>
      </c>
      <c r="AG76" s="220">
        <f>AG77</f>
        <v>265350472.05000001</v>
      </c>
      <c r="AH76" s="221">
        <f t="shared" si="20"/>
        <v>0.94800034963948443</v>
      </c>
      <c r="AI76" s="221">
        <f t="shared" si="21"/>
        <v>3.3291097882071075E-4</v>
      </c>
      <c r="AJ76" s="221">
        <f t="shared" si="3"/>
        <v>3.5129515401643188E-4</v>
      </c>
      <c r="AK76" s="220">
        <v>265257288.44999999</v>
      </c>
      <c r="AL76" s="221">
        <v>0.94766743866066372</v>
      </c>
    </row>
    <row r="77" spans="1:38" ht="39.75" customHeight="1" x14ac:dyDescent="0.3">
      <c r="A77" s="253" t="s">
        <v>436</v>
      </c>
      <c r="B77" s="254" t="str">
        <f>VLOOKUP(A77,saīsinājumi_LV_ENG!A:G,5,FALSE)</f>
        <v>Videi draudzīgs sabiedriskais transports</v>
      </c>
      <c r="C77" s="222" t="s">
        <v>35</v>
      </c>
      <c r="D77" s="222" t="str">
        <f ca="1">IFERROR(IF((VLOOKUP(A77,Pasākumu_līmenis!A:H,3,0))=0,"",VLOOKUP(A77,Pasākumu_līmenis!A:H,3,0)),"")</f>
        <v/>
      </c>
      <c r="E77" s="224"/>
      <c r="F77" s="224"/>
      <c r="G77" s="278"/>
      <c r="H77" s="225">
        <f>SUM(H78:H79)</f>
        <v>279905458</v>
      </c>
      <c r="I77" s="225">
        <f>SUM(I78:I79)</f>
        <v>0</v>
      </c>
      <c r="J77" s="225">
        <f>SUM(J78:J79)</f>
        <v>279905458</v>
      </c>
      <c r="K77" s="225">
        <f>SUM(K78:K79)</f>
        <v>6713574.1033218019</v>
      </c>
      <c r="L77" s="225">
        <f>SUM(L78:L79)</f>
        <v>265329414.16000003</v>
      </c>
      <c r="M77" s="226">
        <f t="shared" si="14"/>
        <v>0.94792511748734831</v>
      </c>
      <c r="N77" s="226">
        <f t="shared" si="15"/>
        <v>0</v>
      </c>
      <c r="O77" s="226">
        <f t="shared" si="22"/>
        <v>0</v>
      </c>
      <c r="P77" s="225">
        <f>SUM(P78:P79)</f>
        <v>22</v>
      </c>
      <c r="Q77" s="225">
        <v>265329414.16000003</v>
      </c>
      <c r="R77" s="226">
        <v>0.94792511748734831</v>
      </c>
      <c r="S77" s="225">
        <f>SUM(S78:S79)</f>
        <v>265329414.16000003</v>
      </c>
      <c r="T77" s="226">
        <f t="shared" si="16"/>
        <v>0.94792511748734831</v>
      </c>
      <c r="U77" s="226">
        <f t="shared" si="17"/>
        <v>0</v>
      </c>
      <c r="V77" s="226">
        <f t="shared" si="23"/>
        <v>0</v>
      </c>
      <c r="W77" s="225">
        <f>SUM(W78:W79)</f>
        <v>22</v>
      </c>
      <c r="X77" s="225">
        <v>265329414.16000003</v>
      </c>
      <c r="Y77" s="226">
        <v>0.94792511748734831</v>
      </c>
      <c r="Z77" s="225">
        <f>SUM(Z78:Z79)</f>
        <v>265329414.16000003</v>
      </c>
      <c r="AA77" s="226">
        <f t="shared" si="18"/>
        <v>0.94792511748734831</v>
      </c>
      <c r="AB77" s="226">
        <f t="shared" si="19"/>
        <v>0</v>
      </c>
      <c r="AC77" s="226">
        <f t="shared" si="59"/>
        <v>0</v>
      </c>
      <c r="AD77" s="225">
        <f>SUM(AD78:AD79)</f>
        <v>22</v>
      </c>
      <c r="AE77" s="225">
        <v>265329414.16000003</v>
      </c>
      <c r="AF77" s="226">
        <v>0.94792511748734831</v>
      </c>
      <c r="AG77" s="225">
        <f>SUM(AG78:AG79)</f>
        <v>265350472.05000001</v>
      </c>
      <c r="AH77" s="226">
        <f t="shared" si="20"/>
        <v>0.94800034963948443</v>
      </c>
      <c r="AI77" s="226">
        <f t="shared" si="21"/>
        <v>3.3291097882071075E-4</v>
      </c>
      <c r="AJ77" s="226">
        <f t="shared" si="3"/>
        <v>3.5129515401643188E-4</v>
      </c>
      <c r="AK77" s="225">
        <v>265257288.44999999</v>
      </c>
      <c r="AL77" s="226">
        <v>0.94766743866066372</v>
      </c>
    </row>
    <row r="78" spans="1:38" ht="21" customHeight="1" x14ac:dyDescent="0.3">
      <c r="A78" s="255" t="s">
        <v>270</v>
      </c>
      <c r="B78" s="256" t="str">
        <f>VLOOKUP(A78,saīsinājumi_LV_ENG!A:G,5,FALSE)</f>
        <v>Tramvaji un elektrovilcieni</v>
      </c>
      <c r="C78" s="12" t="s">
        <v>185</v>
      </c>
      <c r="D78" s="12"/>
      <c r="E78" s="40" t="str">
        <f>Pasākumu_līmenis!D54</f>
        <v>KF</v>
      </c>
      <c r="F78" s="40" t="str">
        <f>Pasākumu_līmenis!E54</f>
        <v>SM</v>
      </c>
      <c r="G78" s="279" t="str">
        <f>VLOOKUP(A78,'2. Intervences kategorijas - Pa'!B:D,2,FALSE)</f>
        <v>04 - Atbalstīt pāreju uz zemu oglekļa emisiju ekonomiku visās nozarēs</v>
      </c>
      <c r="H78" s="171">
        <f>Pasākumu_līmenis!F54</f>
        <v>235002439</v>
      </c>
      <c r="I78" s="171">
        <f>Pasākumu_līmenis!G54</f>
        <v>0</v>
      </c>
      <c r="J78" s="171">
        <f>Pasākumu_līmenis!H54</f>
        <v>235002439</v>
      </c>
      <c r="K78" s="171">
        <f>Pasākumu_līmenis!I54</f>
        <v>5939202.99873742</v>
      </c>
      <c r="L78" s="171">
        <f>Pasākumu_līmenis!J54</f>
        <v>225437164.83000001</v>
      </c>
      <c r="M78" s="172">
        <f>L78/$H78</f>
        <v>0.95929712810342371</v>
      </c>
      <c r="N78" s="172">
        <f>M78-R78</f>
        <v>0</v>
      </c>
      <c r="O78" s="172">
        <f>IFERROR(((L78-Q78)/Q78),0)</f>
        <v>0</v>
      </c>
      <c r="P78" s="171">
        <f>Pasākumu_līmenis!N54</f>
        <v>8</v>
      </c>
      <c r="Q78" s="171">
        <v>225437164.83000001</v>
      </c>
      <c r="R78" s="172">
        <v>0.95929712810342371</v>
      </c>
      <c r="S78" s="171">
        <f>Pasākumu_līmenis!Q54</f>
        <v>225437164.83000001</v>
      </c>
      <c r="T78" s="172">
        <f>S78/$H78</f>
        <v>0.95929712810342371</v>
      </c>
      <c r="U78" s="172">
        <f>T78-Y78</f>
        <v>0</v>
      </c>
      <c r="V78" s="172">
        <f>IFERROR(((S78-X78)/X78),0)</f>
        <v>0</v>
      </c>
      <c r="W78" s="171">
        <f>Pasākumu_līmenis!U54</f>
        <v>8</v>
      </c>
      <c r="X78" s="171">
        <v>225437164.83000001</v>
      </c>
      <c r="Y78" s="172">
        <v>0.95929712810342371</v>
      </c>
      <c r="Z78" s="171">
        <f>Pasākumu_līmenis!X54</f>
        <v>225437164.83000001</v>
      </c>
      <c r="AA78" s="172">
        <f>Z78/$H78</f>
        <v>0.95929712810342371</v>
      </c>
      <c r="AB78" s="172">
        <f>AA78-AF78</f>
        <v>0</v>
      </c>
      <c r="AC78" s="172">
        <f>IFERROR(((Z78-AE78)/AE78),0)</f>
        <v>0</v>
      </c>
      <c r="AD78" s="171">
        <f>Pasākumu_līmenis!AB54</f>
        <v>8</v>
      </c>
      <c r="AE78" s="171">
        <v>225437164.83000001</v>
      </c>
      <c r="AF78" s="172">
        <v>0.95929712810342371</v>
      </c>
      <c r="AG78" s="171">
        <f>Pasākumu_līmenis!AE54</f>
        <v>225458222.72</v>
      </c>
      <c r="AH78" s="172">
        <f>AG78/$H78</f>
        <v>0.9593867352159694</v>
      </c>
      <c r="AI78" s="172">
        <f>AH78-AL78</f>
        <v>3.9652184205629659E-4</v>
      </c>
      <c r="AJ78" s="172">
        <f>IFERROR(((AG78-AK78)/AK78),0)</f>
        <v>4.1347850742002896E-4</v>
      </c>
      <c r="AK78" s="171">
        <v>225365039.12</v>
      </c>
      <c r="AL78" s="172">
        <v>0.9589902133739131</v>
      </c>
    </row>
    <row r="79" spans="1:38" ht="21" customHeight="1" x14ac:dyDescent="0.3">
      <c r="A79" s="255" t="s">
        <v>271</v>
      </c>
      <c r="B79" s="256" t="str">
        <f>VLOOKUP(A79,saīsinājumi_LV_ENG!A:G,5,FALSE)</f>
        <v>Videi draudzīgi autobusi</v>
      </c>
      <c r="C79" s="12" t="s">
        <v>186</v>
      </c>
      <c r="D79" s="12"/>
      <c r="E79" s="40" t="str">
        <f>Pasākumu_līmenis!D55</f>
        <v>KF</v>
      </c>
      <c r="F79" s="40" t="str">
        <f>Pasākumu_līmenis!E55</f>
        <v>SM</v>
      </c>
      <c r="G79" s="279" t="str">
        <f>VLOOKUP(A79,'2. Intervences kategorijas - Pa'!B:D,2,FALSE)</f>
        <v>04 - Atbalstīt pāreju uz zemu oglekļa emisiju ekonomiku visās nozarēs</v>
      </c>
      <c r="H79" s="171">
        <f>Pasākumu_līmenis!F55</f>
        <v>44903019</v>
      </c>
      <c r="I79" s="171">
        <f>Pasākumu_līmenis!G55</f>
        <v>0</v>
      </c>
      <c r="J79" s="171">
        <f>Pasākumu_līmenis!H55</f>
        <v>44903019</v>
      </c>
      <c r="K79" s="171">
        <f>Pasākumu_līmenis!I55</f>
        <v>774371.10458438203</v>
      </c>
      <c r="L79" s="171">
        <f>Pasākumu_līmenis!J55</f>
        <v>39892249.329999998</v>
      </c>
      <c r="M79" s="172">
        <f t="shared" si="14"/>
        <v>0.88840906955498911</v>
      </c>
      <c r="N79" s="172">
        <f t="shared" si="15"/>
        <v>0</v>
      </c>
      <c r="O79" s="172">
        <f t="shared" si="22"/>
        <v>0</v>
      </c>
      <c r="P79" s="171">
        <f>Pasākumu_līmenis!N55</f>
        <v>14</v>
      </c>
      <c r="Q79" s="171">
        <v>39892249.329999998</v>
      </c>
      <c r="R79" s="172">
        <v>0.88840906955498911</v>
      </c>
      <c r="S79" s="171">
        <f>Pasākumu_līmenis!Q55</f>
        <v>39892249.329999998</v>
      </c>
      <c r="T79" s="172">
        <f t="shared" si="16"/>
        <v>0.88840906955498911</v>
      </c>
      <c r="U79" s="172">
        <f t="shared" si="17"/>
        <v>0</v>
      </c>
      <c r="V79" s="172">
        <f t="shared" si="23"/>
        <v>0</v>
      </c>
      <c r="W79" s="171">
        <f>Pasākumu_līmenis!U55</f>
        <v>14</v>
      </c>
      <c r="X79" s="171">
        <v>39892249.329999998</v>
      </c>
      <c r="Y79" s="172">
        <v>0.88840906955498911</v>
      </c>
      <c r="Z79" s="171">
        <f>Pasākumu_līmenis!X55</f>
        <v>39892249.329999998</v>
      </c>
      <c r="AA79" s="172">
        <f t="shared" si="18"/>
        <v>0.88840906955498911</v>
      </c>
      <c r="AB79" s="172">
        <f t="shared" si="19"/>
        <v>0</v>
      </c>
      <c r="AC79" s="172">
        <f t="shared" si="59"/>
        <v>0</v>
      </c>
      <c r="AD79" s="171">
        <f>Pasākumu_līmenis!AB55</f>
        <v>14</v>
      </c>
      <c r="AE79" s="171">
        <v>39892249.329999998</v>
      </c>
      <c r="AF79" s="172">
        <v>0.88840906955498911</v>
      </c>
      <c r="AG79" s="171">
        <f>Pasākumu_līmenis!AE55</f>
        <v>39892249.329999998</v>
      </c>
      <c r="AH79" s="172">
        <f t="shared" si="20"/>
        <v>0.88840906955498911</v>
      </c>
      <c r="AI79" s="172">
        <f t="shared" si="21"/>
        <v>0</v>
      </c>
      <c r="AJ79" s="172">
        <f t="shared" ref="AJ79:AJ147" si="60">IFERROR(((AG79-AK79)/AK79),0)</f>
        <v>0</v>
      </c>
      <c r="AK79" s="171">
        <v>39892249.329999998</v>
      </c>
      <c r="AL79" s="172">
        <v>0.88840906955498911</v>
      </c>
    </row>
    <row r="80" spans="1:38" ht="21" customHeight="1" x14ac:dyDescent="0.3">
      <c r="A80" s="249" t="s">
        <v>51</v>
      </c>
      <c r="B80" s="250" t="str">
        <f>VLOOKUP(A80,saīsinājumi_LV_ENG!A:G,5,FALSE)</f>
        <v>Vide un teritoriālā attīstība</v>
      </c>
      <c r="C80" s="10" t="s">
        <v>367</v>
      </c>
      <c r="D80" s="227">
        <f ca="1">IFERROR((VLOOKUP(A80,Pasākumu_līmenis!A:H,3,0)),"")</f>
        <v>0</v>
      </c>
      <c r="E80" s="68"/>
      <c r="F80" s="68"/>
      <c r="G80" s="281"/>
      <c r="H80" s="228">
        <f>H81+H84+H89+H91+H100+H102</f>
        <v>581390235</v>
      </c>
      <c r="I80" s="228">
        <f>I81+I84+I89+I91+I100+I102</f>
        <v>78662967</v>
      </c>
      <c r="J80" s="228">
        <f>J81+J84+J89+J91+J100+J102</f>
        <v>660053202</v>
      </c>
      <c r="K80" s="228">
        <f>K81+K84+K89+K91+K100+K102</f>
        <v>21646183.946061909</v>
      </c>
      <c r="L80" s="228">
        <f>L81+L84+L89+L91+L100+L102</f>
        <v>622630364.61000001</v>
      </c>
      <c r="M80" s="229">
        <f t="shared" si="14"/>
        <v>1.0709336468473709</v>
      </c>
      <c r="N80" s="229">
        <f t="shared" si="15"/>
        <v>0</v>
      </c>
      <c r="O80" s="229">
        <f t="shared" si="22"/>
        <v>0</v>
      </c>
      <c r="P80" s="228">
        <f>P81+P84+P89+P91+P100+P102</f>
        <v>273</v>
      </c>
      <c r="Q80" s="177">
        <v>622630364.61000001</v>
      </c>
      <c r="R80" s="178">
        <v>1.0709336468473709</v>
      </c>
      <c r="S80" s="228">
        <f>S81+S84+S89+S91+S100+S102</f>
        <v>622630364.61000001</v>
      </c>
      <c r="T80" s="229">
        <f t="shared" si="16"/>
        <v>1.0709336468473709</v>
      </c>
      <c r="U80" s="229">
        <f t="shared" si="17"/>
        <v>0</v>
      </c>
      <c r="V80" s="229">
        <f t="shared" si="23"/>
        <v>0</v>
      </c>
      <c r="W80" s="228">
        <f>W81+W84+W89+W91+W100+W102</f>
        <v>273</v>
      </c>
      <c r="X80" s="228">
        <v>622630364.61000001</v>
      </c>
      <c r="Y80" s="229">
        <v>1.0709336468473709</v>
      </c>
      <c r="Z80" s="228">
        <f>Z81+Z84+Z89+Z91+Z100+Z102</f>
        <v>622630364.61000001</v>
      </c>
      <c r="AA80" s="229">
        <f t="shared" si="18"/>
        <v>1.0709336468473709</v>
      </c>
      <c r="AB80" s="229">
        <f t="shared" si="19"/>
        <v>0</v>
      </c>
      <c r="AC80" s="229">
        <f t="shared" si="59"/>
        <v>0</v>
      </c>
      <c r="AD80" s="228">
        <f>AD81+AD84+AD89+AD91+AD100+AD102</f>
        <v>273</v>
      </c>
      <c r="AE80" s="177">
        <v>622630364.61000001</v>
      </c>
      <c r="AF80" s="178">
        <v>1.0709336468473709</v>
      </c>
      <c r="AG80" s="228">
        <f>AG81+AG84+AG89+AG91+AG100+AG102</f>
        <v>618590696.21000004</v>
      </c>
      <c r="AH80" s="229">
        <f t="shared" si="20"/>
        <v>1.063985356083595</v>
      </c>
      <c r="AI80" s="229">
        <f t="shared" si="21"/>
        <v>-1.4328205908031855E-4</v>
      </c>
      <c r="AJ80" s="229">
        <f t="shared" si="60"/>
        <v>-1.3464731043264977E-4</v>
      </c>
      <c r="AK80" s="228">
        <v>618673999</v>
      </c>
      <c r="AL80" s="229">
        <v>1.0641286381426753</v>
      </c>
    </row>
    <row r="81" spans="1:38" ht="21" customHeight="1" x14ac:dyDescent="0.3">
      <c r="A81" s="251" t="s">
        <v>52</v>
      </c>
      <c r="B81" s="252" t="str">
        <f>VLOOKUP(A81,saīsinājumi_LV_ENG!A:G,5,FALSE)</f>
        <v xml:space="preserve">Pielāgošanās klimata pārmaiņām </v>
      </c>
      <c r="C81" s="217" t="s">
        <v>58</v>
      </c>
      <c r="D81" s="218" t="str">
        <f ca="1">IFERROR(IF((VLOOKUP(A81,Pasākumu_līmenis!A:H,3,0))=0,"",VLOOKUP(A81,Pasākumu_līmenis!A:H,3,0)),"")</f>
        <v/>
      </c>
      <c r="E81" s="236"/>
      <c r="F81" s="219"/>
      <c r="G81" s="277"/>
      <c r="H81" s="220">
        <f>H82+H83</f>
        <v>0</v>
      </c>
      <c r="I81" s="220">
        <f>I82+I83</f>
        <v>61180784</v>
      </c>
      <c r="J81" s="220">
        <f>J82+J83</f>
        <v>61180784</v>
      </c>
      <c r="K81" s="220">
        <f>K82+K83</f>
        <v>4929593.9460619101</v>
      </c>
      <c r="L81" s="220">
        <f>L82+L83</f>
        <v>59347610.930000007</v>
      </c>
      <c r="M81" s="221">
        <f>IFERROR(L81/$H81,0)</f>
        <v>0</v>
      </c>
      <c r="N81" s="221">
        <f t="shared" si="15"/>
        <v>0</v>
      </c>
      <c r="O81" s="221">
        <f t="shared" si="22"/>
        <v>0</v>
      </c>
      <c r="P81" s="220">
        <f>P82+P83</f>
        <v>42</v>
      </c>
      <c r="Q81" s="220">
        <v>59347610.930000007</v>
      </c>
      <c r="R81" s="221">
        <v>0</v>
      </c>
      <c r="S81" s="220">
        <f>S82+S83</f>
        <v>59347610.930000007</v>
      </c>
      <c r="T81" s="221">
        <f>IFERROR(S81/$H81,0)</f>
        <v>0</v>
      </c>
      <c r="U81" s="221">
        <f t="shared" si="17"/>
        <v>0</v>
      </c>
      <c r="V81" s="221">
        <f t="shared" si="23"/>
        <v>0</v>
      </c>
      <c r="W81" s="220">
        <f>W82+W83</f>
        <v>42</v>
      </c>
      <c r="X81" s="220">
        <v>59347610.930000007</v>
      </c>
      <c r="Y81" s="221">
        <v>0</v>
      </c>
      <c r="Z81" s="220">
        <f>Z82+Z83</f>
        <v>59347610.930000007</v>
      </c>
      <c r="AA81" s="221">
        <f>IFERROR(Z81/$H81,0)</f>
        <v>0</v>
      </c>
      <c r="AB81" s="221">
        <f t="shared" si="19"/>
        <v>0</v>
      </c>
      <c r="AC81" s="221">
        <f t="shared" si="59"/>
        <v>0</v>
      </c>
      <c r="AD81" s="220">
        <f>AD82+AD83</f>
        <v>42</v>
      </c>
      <c r="AE81" s="220">
        <v>59347610.930000007</v>
      </c>
      <c r="AF81" s="221">
        <v>0</v>
      </c>
      <c r="AG81" s="220">
        <f>AG82+AG83</f>
        <v>59336909.68</v>
      </c>
      <c r="AH81" s="221">
        <f>IFERROR(AG81/$H81,0)</f>
        <v>0</v>
      </c>
      <c r="AI81" s="221">
        <f t="shared" si="21"/>
        <v>0</v>
      </c>
      <c r="AJ81" s="221">
        <f t="shared" si="60"/>
        <v>0</v>
      </c>
      <c r="AK81" s="220">
        <v>59336909.68</v>
      </c>
      <c r="AL81" s="221">
        <v>0</v>
      </c>
    </row>
    <row r="82" spans="1:38" ht="39.75" customHeight="1" x14ac:dyDescent="0.3">
      <c r="A82" s="257" t="s">
        <v>273</v>
      </c>
      <c r="B82" s="256" t="str">
        <f>VLOOKUP(A82,saīsinājumi_LV_ENG!A:G,5,FALSE)</f>
        <v>Plūdu risku samazināšana blīvi apdzīvotās teritorijās</v>
      </c>
      <c r="C82" s="12" t="s">
        <v>59</v>
      </c>
      <c r="D82" s="44"/>
      <c r="E82" s="35" t="str">
        <f>Pasākumu_līmenis!D57</f>
        <v>KF</v>
      </c>
      <c r="F82" s="40" t="str">
        <f>Pasākumu_līmenis!E57</f>
        <v>VARAM</v>
      </c>
      <c r="G82" s="279" t="str">
        <f>VLOOKUP(A82,'2. Intervences kategorijas - Pa'!B:D,2,FALSE)</f>
        <v>05 - Veicināt pielāgošanos klimata pārmaiņām, risku novēršanu un vadību</v>
      </c>
      <c r="H82" s="171">
        <f>Pasākumu_līmenis!F57</f>
        <v>0</v>
      </c>
      <c r="I82" s="171">
        <f>Pasākumu_līmenis!G57</f>
        <v>24299268</v>
      </c>
      <c r="J82" s="171">
        <f>Pasākumu_līmenis!H57</f>
        <v>24299268</v>
      </c>
      <c r="K82" s="171">
        <f>Pasākumu_līmenis!I57</f>
        <v>2679997</v>
      </c>
      <c r="L82" s="171">
        <f>Pasākumu_līmenis!J57</f>
        <v>22886986.370000001</v>
      </c>
      <c r="M82" s="172">
        <f>IFERROR(L82/$H82,0)</f>
        <v>0</v>
      </c>
      <c r="N82" s="172">
        <f t="shared" ref="N82:N150" si="61">M82-R82</f>
        <v>0</v>
      </c>
      <c r="O82" s="172">
        <f t="shared" si="22"/>
        <v>0</v>
      </c>
      <c r="P82" s="171">
        <f>Pasākumu_līmenis!N57</f>
        <v>10</v>
      </c>
      <c r="Q82" s="171">
        <v>22886986.370000001</v>
      </c>
      <c r="R82" s="172">
        <v>0</v>
      </c>
      <c r="S82" s="171">
        <f>Pasākumu_līmenis!Q57</f>
        <v>22886986.370000001</v>
      </c>
      <c r="T82" s="172">
        <f>IFERROR(S82/$H82,0)</f>
        <v>0</v>
      </c>
      <c r="U82" s="172">
        <f t="shared" ref="U82:U150" si="62">T82-Y82</f>
        <v>0</v>
      </c>
      <c r="V82" s="172">
        <f t="shared" si="23"/>
        <v>0</v>
      </c>
      <c r="W82" s="171">
        <f>Pasākumu_līmenis!U57</f>
        <v>10</v>
      </c>
      <c r="X82" s="171">
        <v>22886986.370000001</v>
      </c>
      <c r="Y82" s="172">
        <v>0</v>
      </c>
      <c r="Z82" s="171">
        <f>Pasākumu_līmenis!X57</f>
        <v>22886986.370000001</v>
      </c>
      <c r="AA82" s="172">
        <f>IFERROR(Z82/$H82,0)</f>
        <v>0</v>
      </c>
      <c r="AB82" s="172">
        <f t="shared" ref="AB82:AB150" si="63">AA82-AF82</f>
        <v>0</v>
      </c>
      <c r="AC82" s="172">
        <f t="shared" si="59"/>
        <v>0</v>
      </c>
      <c r="AD82" s="171">
        <f>Pasākumu_līmenis!AB57</f>
        <v>10</v>
      </c>
      <c r="AE82" s="171">
        <v>22886986.370000001</v>
      </c>
      <c r="AF82" s="172">
        <v>0</v>
      </c>
      <c r="AG82" s="171">
        <f>Pasākumu_līmenis!AE57</f>
        <v>22876285.149999999</v>
      </c>
      <c r="AH82" s="172">
        <f>IFERROR(AG82/$H82,0)</f>
        <v>0</v>
      </c>
      <c r="AI82" s="172">
        <f t="shared" ref="AI82:AI150" si="64">AH82-AL82</f>
        <v>0</v>
      </c>
      <c r="AJ82" s="172">
        <f t="shared" si="60"/>
        <v>0</v>
      </c>
      <c r="AK82" s="171">
        <v>22876285.149999999</v>
      </c>
      <c r="AL82" s="172">
        <v>0</v>
      </c>
    </row>
    <row r="83" spans="1:38" ht="39.75" customHeight="1" x14ac:dyDescent="0.3">
      <c r="A83" s="257" t="s">
        <v>274</v>
      </c>
      <c r="B83" s="256" t="str">
        <f>VLOOKUP(A83,saīsinājumi_LV_ENG!A:G,5,FALSE)</f>
        <v>Plūdu risku samazināšana lauku teritorijās</v>
      </c>
      <c r="C83" s="12" t="s">
        <v>60</v>
      </c>
      <c r="D83" s="44"/>
      <c r="E83" s="35" t="str">
        <f>Pasākumu_līmenis!D58</f>
        <v>KF</v>
      </c>
      <c r="F83" s="40" t="s">
        <v>400</v>
      </c>
      <c r="G83" s="279" t="str">
        <f>VLOOKUP(A83,'2. Intervences kategorijas - Pa'!B:D,2,FALSE)</f>
        <v>05 - Veicināt pielāgošanos klimata pārmaiņām, risku novēršanu un vadību</v>
      </c>
      <c r="H83" s="171">
        <f>Pasākumu_līmenis!F58</f>
        <v>0</v>
      </c>
      <c r="I83" s="171">
        <f>Pasākumu_līmenis!G58</f>
        <v>36881516</v>
      </c>
      <c r="J83" s="171">
        <f>Pasākumu_līmenis!H58</f>
        <v>36881516</v>
      </c>
      <c r="K83" s="171">
        <f>Pasākumu_līmenis!I58</f>
        <v>2249596.9460619101</v>
      </c>
      <c r="L83" s="171">
        <f>Pasākumu_līmenis!J58</f>
        <v>36460624.560000002</v>
      </c>
      <c r="M83" s="172">
        <f>IFERROR(L83/$H83,0)</f>
        <v>0</v>
      </c>
      <c r="N83" s="172">
        <f t="shared" si="61"/>
        <v>0</v>
      </c>
      <c r="O83" s="172">
        <f t="shared" si="22"/>
        <v>0</v>
      </c>
      <c r="P83" s="171">
        <f>Pasākumu_līmenis!N58</f>
        <v>32</v>
      </c>
      <c r="Q83" s="171">
        <v>36460624.560000002</v>
      </c>
      <c r="R83" s="172">
        <v>0</v>
      </c>
      <c r="S83" s="171">
        <f>Pasākumu_līmenis!Q58</f>
        <v>36460624.560000002</v>
      </c>
      <c r="T83" s="172">
        <f>IFERROR(S83/$H83,0)</f>
        <v>0</v>
      </c>
      <c r="U83" s="172">
        <f t="shared" si="62"/>
        <v>0</v>
      </c>
      <c r="V83" s="172">
        <f t="shared" si="23"/>
        <v>0</v>
      </c>
      <c r="W83" s="171">
        <f>Pasākumu_līmenis!U58</f>
        <v>32</v>
      </c>
      <c r="X83" s="171">
        <v>36460624.560000002</v>
      </c>
      <c r="Y83" s="172">
        <v>0</v>
      </c>
      <c r="Z83" s="171">
        <f>Pasākumu_līmenis!X58</f>
        <v>36460624.560000002</v>
      </c>
      <c r="AA83" s="172">
        <f>IFERROR(Z83/$H83,)</f>
        <v>0</v>
      </c>
      <c r="AB83" s="172">
        <f t="shared" si="63"/>
        <v>0</v>
      </c>
      <c r="AC83" s="172">
        <f t="shared" si="59"/>
        <v>0</v>
      </c>
      <c r="AD83" s="171">
        <f>Pasākumu_līmenis!AB58</f>
        <v>32</v>
      </c>
      <c r="AE83" s="171">
        <v>36460624.560000002</v>
      </c>
      <c r="AF83" s="172">
        <v>0</v>
      </c>
      <c r="AG83" s="171">
        <f>Pasākumu_līmenis!AE58</f>
        <v>36460624.530000001</v>
      </c>
      <c r="AH83" s="172">
        <f>IFERROR(AG83/$H83,0)</f>
        <v>0</v>
      </c>
      <c r="AI83" s="172">
        <f t="shared" si="64"/>
        <v>0</v>
      </c>
      <c r="AJ83" s="172">
        <f t="shared" si="60"/>
        <v>0</v>
      </c>
      <c r="AK83" s="171">
        <v>36460624.530000001</v>
      </c>
      <c r="AL83" s="172">
        <v>0</v>
      </c>
    </row>
    <row r="84" spans="1:38" ht="59.25" customHeight="1" x14ac:dyDescent="0.3">
      <c r="A84" s="251" t="s">
        <v>53</v>
      </c>
      <c r="B84" s="252" t="str">
        <f>VLOOKUP(A84,saīsinājumi_LV_ENG!A:G,5,FALSE)</f>
        <v xml:space="preserve">Investīcijas atkritumu nozarē, lai ievērotu Savienības acquis noteiktās prasības vides jomā </v>
      </c>
      <c r="C84" s="231" t="s">
        <v>378</v>
      </c>
      <c r="D84" s="218" t="str">
        <f ca="1">IFERROR(IF((VLOOKUP(A84,Pasākumu_līmenis!A:H,3,0))=0,"",VLOOKUP(A84,Pasākumu_līmenis!A:H,3,0)),"")</f>
        <v/>
      </c>
      <c r="E84" s="236"/>
      <c r="F84" s="219"/>
      <c r="G84" s="277"/>
      <c r="H84" s="220">
        <f>H85</f>
        <v>55771320</v>
      </c>
      <c r="I84" s="220">
        <f>I85</f>
        <v>17482183</v>
      </c>
      <c r="J84" s="220">
        <f>J85</f>
        <v>73253503</v>
      </c>
      <c r="K84" s="220">
        <f>K85</f>
        <v>0</v>
      </c>
      <c r="L84" s="220">
        <f>L85</f>
        <v>71898764.629999995</v>
      </c>
      <c r="M84" s="221">
        <f t="shared" ref="M84:M150" si="65">L84/$H84</f>
        <v>1.2891709328378815</v>
      </c>
      <c r="N84" s="221">
        <f t="shared" si="61"/>
        <v>0</v>
      </c>
      <c r="O84" s="221">
        <f t="shared" ref="O84:O153" si="66">IFERROR(((L84-Q84)/Q84),0)</f>
        <v>0</v>
      </c>
      <c r="P84" s="220">
        <f>P85</f>
        <v>17</v>
      </c>
      <c r="Q84" s="220">
        <v>71898764.629999995</v>
      </c>
      <c r="R84" s="221">
        <v>1.2891709328378815</v>
      </c>
      <c r="S84" s="220">
        <f>S85</f>
        <v>71898764.629999995</v>
      </c>
      <c r="T84" s="221">
        <f t="shared" ref="T84:T150" si="67">S84/$H84</f>
        <v>1.2891709328378815</v>
      </c>
      <c r="U84" s="221">
        <f t="shared" si="62"/>
        <v>0</v>
      </c>
      <c r="V84" s="221">
        <f t="shared" ref="V84:V153" si="68">IFERROR(((S84-X84)/X84),0)</f>
        <v>0</v>
      </c>
      <c r="W84" s="220">
        <f>W85</f>
        <v>17</v>
      </c>
      <c r="X84" s="220">
        <v>71898764.629999995</v>
      </c>
      <c r="Y84" s="221">
        <v>1.2891709328378815</v>
      </c>
      <c r="Z84" s="220">
        <f>Z85</f>
        <v>71898764.629999995</v>
      </c>
      <c r="AA84" s="221">
        <f t="shared" ref="AA84:AA150" si="69">Z84/$H84</f>
        <v>1.2891709328378815</v>
      </c>
      <c r="AB84" s="221">
        <f t="shared" si="63"/>
        <v>0</v>
      </c>
      <c r="AC84" s="221">
        <f t="shared" si="59"/>
        <v>0</v>
      </c>
      <c r="AD84" s="220">
        <f>AD85</f>
        <v>17</v>
      </c>
      <c r="AE84" s="220">
        <v>71898764.629999995</v>
      </c>
      <c r="AF84" s="221">
        <v>1.2891709328378815</v>
      </c>
      <c r="AG84" s="220">
        <f>AG85</f>
        <v>71898764.629999995</v>
      </c>
      <c r="AH84" s="221">
        <f t="shared" ref="AH84:AH150" si="70">AG84/$H84</f>
        <v>1.2891709328378815</v>
      </c>
      <c r="AI84" s="221">
        <f t="shared" si="64"/>
        <v>0</v>
      </c>
      <c r="AJ84" s="221">
        <f t="shared" si="60"/>
        <v>0</v>
      </c>
      <c r="AK84" s="220">
        <v>71898764.629999995</v>
      </c>
      <c r="AL84" s="221">
        <v>1.2891709328378815</v>
      </c>
    </row>
    <row r="85" spans="1:38" ht="39.75" customHeight="1" x14ac:dyDescent="0.3">
      <c r="A85" s="253" t="s">
        <v>437</v>
      </c>
      <c r="B85" s="254" t="str">
        <f>VLOOKUP(A85,saīsinājumi_LV_ENG!A:G,5,FALSE)</f>
        <v>Atkritumu atkārtota izmantošana, pārstrāde un reģenerācija</v>
      </c>
      <c r="C85" s="222" t="s">
        <v>61</v>
      </c>
      <c r="D85" s="223" t="str">
        <f ca="1">IFERROR(IF((VLOOKUP(A85,Pasākumu_līmenis!A:H,3,0))=0,"",VLOOKUP(A85,Pasākumu_līmenis!A:H,3,0)),"")</f>
        <v/>
      </c>
      <c r="E85" s="235"/>
      <c r="F85" s="224"/>
      <c r="G85" s="278"/>
      <c r="H85" s="225">
        <f>SUM(H86:H88)</f>
        <v>55771320</v>
      </c>
      <c r="I85" s="225">
        <f>SUM(I86:I88)</f>
        <v>17482183</v>
      </c>
      <c r="J85" s="225">
        <f>SUM(J86:J88)</f>
        <v>73253503</v>
      </c>
      <c r="K85" s="225">
        <f>SUM(K86:K88)</f>
        <v>0</v>
      </c>
      <c r="L85" s="225">
        <f>SUM(L86:L88)</f>
        <v>71898764.629999995</v>
      </c>
      <c r="M85" s="226">
        <f t="shared" si="65"/>
        <v>1.2891709328378815</v>
      </c>
      <c r="N85" s="226">
        <f t="shared" si="61"/>
        <v>0</v>
      </c>
      <c r="O85" s="226">
        <f t="shared" si="66"/>
        <v>0</v>
      </c>
      <c r="P85" s="225">
        <f>SUM(P86:P88)</f>
        <v>17</v>
      </c>
      <c r="Q85" s="225">
        <v>71898764.629999995</v>
      </c>
      <c r="R85" s="226">
        <v>1.2891709328378815</v>
      </c>
      <c r="S85" s="225">
        <f>SUM(S86:S88)</f>
        <v>71898764.629999995</v>
      </c>
      <c r="T85" s="226">
        <f t="shared" si="67"/>
        <v>1.2891709328378815</v>
      </c>
      <c r="U85" s="226">
        <f t="shared" si="62"/>
        <v>0</v>
      </c>
      <c r="V85" s="226">
        <f t="shared" si="68"/>
        <v>0</v>
      </c>
      <c r="W85" s="225">
        <f>SUM(W86:W88)</f>
        <v>17</v>
      </c>
      <c r="X85" s="225">
        <v>71898764.629999995</v>
      </c>
      <c r="Y85" s="226">
        <v>1.2891709328378815</v>
      </c>
      <c r="Z85" s="225">
        <f>SUM(Z86:Z88)</f>
        <v>71898764.629999995</v>
      </c>
      <c r="AA85" s="226">
        <f t="shared" si="69"/>
        <v>1.2891709328378815</v>
      </c>
      <c r="AB85" s="226">
        <f t="shared" si="63"/>
        <v>0</v>
      </c>
      <c r="AC85" s="226">
        <f t="shared" si="59"/>
        <v>0</v>
      </c>
      <c r="AD85" s="225">
        <f>SUM(AD86:AD88)</f>
        <v>17</v>
      </c>
      <c r="AE85" s="225">
        <v>71898764.629999995</v>
      </c>
      <c r="AF85" s="226">
        <v>1.2891709328378815</v>
      </c>
      <c r="AG85" s="225">
        <f>SUM(AG86:AG88)</f>
        <v>71898764.629999995</v>
      </c>
      <c r="AH85" s="226">
        <f t="shared" si="70"/>
        <v>1.2891709328378815</v>
      </c>
      <c r="AI85" s="226">
        <f t="shared" si="64"/>
        <v>0</v>
      </c>
      <c r="AJ85" s="226">
        <f t="shared" si="60"/>
        <v>0</v>
      </c>
      <c r="AK85" s="225">
        <v>71898764.629999995</v>
      </c>
      <c r="AL85" s="226">
        <v>1.2891709328378815</v>
      </c>
    </row>
    <row r="86" spans="1:38" ht="21" customHeight="1" x14ac:dyDescent="0.3">
      <c r="A86" s="255" t="s">
        <v>275</v>
      </c>
      <c r="B86" s="256" t="str">
        <f>VLOOKUP(A86,saīsinājumi_LV_ENG!A:G,5,FALSE)</f>
        <v>Atkritumu dalītā vākšana</v>
      </c>
      <c r="C86" s="12" t="s">
        <v>187</v>
      </c>
      <c r="D86" s="44"/>
      <c r="E86" s="35" t="str">
        <f>Pasākumu_līmenis!D59</f>
        <v>KF</v>
      </c>
      <c r="F86" s="40" t="str">
        <f>Pasākumu_līmenis!E59</f>
        <v>VARAM</v>
      </c>
      <c r="G86" s="279" t="str">
        <f>VLOOKUP(A86,'2. Intervences kategorijas - Pa'!B:D,2,FALSE)</f>
        <v>06 - Saglabāt un aizsargāt vidi un uzlabot resursu izmantošanas efektivitāti</v>
      </c>
      <c r="H86" s="171">
        <f>Pasākumu_līmenis!F59</f>
        <v>151400</v>
      </c>
      <c r="I86" s="171">
        <f>Pasākumu_līmenis!G59</f>
        <v>0</v>
      </c>
      <c r="J86" s="171">
        <f>Pasākumu_līmenis!H59</f>
        <v>151400</v>
      </c>
      <c r="K86" s="171">
        <f>Pasākumu_līmenis!I59</f>
        <v>0</v>
      </c>
      <c r="L86" s="171">
        <f>Pasākumu_līmenis!J59</f>
        <v>151399.01999999999</v>
      </c>
      <c r="M86" s="172">
        <f t="shared" si="65"/>
        <v>0.9999935270805812</v>
      </c>
      <c r="N86" s="172">
        <f t="shared" si="61"/>
        <v>0</v>
      </c>
      <c r="O86" s="172">
        <f t="shared" si="66"/>
        <v>0</v>
      </c>
      <c r="P86" s="171">
        <f>Pasākumu_līmenis!N59</f>
        <v>4</v>
      </c>
      <c r="Q86" s="171">
        <v>151399.01999999999</v>
      </c>
      <c r="R86" s="172">
        <v>0.9999935270805812</v>
      </c>
      <c r="S86" s="171">
        <f>Pasākumu_līmenis!Q59</f>
        <v>151399.01999999999</v>
      </c>
      <c r="T86" s="172">
        <f t="shared" si="67"/>
        <v>0.9999935270805812</v>
      </c>
      <c r="U86" s="172">
        <f t="shared" si="62"/>
        <v>0</v>
      </c>
      <c r="V86" s="172">
        <f t="shared" si="68"/>
        <v>0</v>
      </c>
      <c r="W86" s="171">
        <f>Pasākumu_līmenis!U59</f>
        <v>4</v>
      </c>
      <c r="X86" s="171">
        <v>151399.01999999999</v>
      </c>
      <c r="Y86" s="172">
        <v>0.9999935270805812</v>
      </c>
      <c r="Z86" s="171">
        <f>Pasākumu_līmenis!X59</f>
        <v>151399.01999999999</v>
      </c>
      <c r="AA86" s="172">
        <f t="shared" si="69"/>
        <v>0.9999935270805812</v>
      </c>
      <c r="AB86" s="172">
        <f t="shared" si="63"/>
        <v>0</v>
      </c>
      <c r="AC86" s="172">
        <f t="shared" si="59"/>
        <v>0</v>
      </c>
      <c r="AD86" s="171">
        <f>Pasākumu_līmenis!AB59</f>
        <v>4</v>
      </c>
      <c r="AE86" s="171">
        <v>151399.01999999999</v>
      </c>
      <c r="AF86" s="172">
        <v>0.9999935270805812</v>
      </c>
      <c r="AG86" s="171">
        <f>Pasākumu_līmenis!AE59</f>
        <v>151399.01999999999</v>
      </c>
      <c r="AH86" s="172">
        <f t="shared" si="70"/>
        <v>0.9999935270805812</v>
      </c>
      <c r="AI86" s="172">
        <f t="shared" si="64"/>
        <v>0</v>
      </c>
      <c r="AJ86" s="172">
        <f t="shared" si="60"/>
        <v>0</v>
      </c>
      <c r="AK86" s="171">
        <v>151399.01999999999</v>
      </c>
      <c r="AL86" s="172">
        <v>0.9999935270805812</v>
      </c>
    </row>
    <row r="87" spans="1:38" ht="21" customHeight="1" x14ac:dyDescent="0.3">
      <c r="A87" s="255" t="s">
        <v>276</v>
      </c>
      <c r="B87" s="256" t="str">
        <f>VLOOKUP(A87,saīsinājumi_LV_ENG!A:G,5,FALSE)</f>
        <v xml:space="preserve">Atkritumu pārstrāde </v>
      </c>
      <c r="C87" s="12" t="s">
        <v>404</v>
      </c>
      <c r="D87" s="44"/>
      <c r="E87" s="35" t="str">
        <f>Pasākumu_līmenis!D60</f>
        <v>KF</v>
      </c>
      <c r="F87" s="40" t="str">
        <f>Pasākumu_līmenis!E60</f>
        <v>VARAM</v>
      </c>
      <c r="G87" s="279" t="str">
        <f>VLOOKUP(A87,'2. Intervences kategorijas - Pa'!B:D,2,FALSE)</f>
        <v>06 - Saglabāt un aizsargāt vidi un uzlabot resursu izmantošanas efektivitāti</v>
      </c>
      <c r="H87" s="171">
        <f>Pasākumu_līmenis!F60</f>
        <v>46435671</v>
      </c>
      <c r="I87" s="171">
        <f>Pasākumu_līmenis!G60</f>
        <v>17482183</v>
      </c>
      <c r="J87" s="171">
        <f>Pasākumu_līmenis!H60</f>
        <v>63917854</v>
      </c>
      <c r="K87" s="171">
        <f>Pasākumu_līmenis!I60</f>
        <v>0</v>
      </c>
      <c r="L87" s="171">
        <f>Pasākumu_līmenis!J60</f>
        <v>62563116.609999999</v>
      </c>
      <c r="M87" s="172">
        <f t="shared" si="65"/>
        <v>1.3473072588958606</v>
      </c>
      <c r="N87" s="172">
        <f t="shared" si="61"/>
        <v>0</v>
      </c>
      <c r="O87" s="172">
        <f t="shared" si="66"/>
        <v>0</v>
      </c>
      <c r="P87" s="171">
        <f>Pasākumu_līmenis!N60</f>
        <v>12</v>
      </c>
      <c r="Q87" s="171">
        <v>62563116.609999999</v>
      </c>
      <c r="R87" s="172">
        <v>1.3473072588958606</v>
      </c>
      <c r="S87" s="171">
        <f>Pasākumu_līmenis!Q60</f>
        <v>62563116.609999999</v>
      </c>
      <c r="T87" s="172">
        <f t="shared" si="67"/>
        <v>1.3473072588958606</v>
      </c>
      <c r="U87" s="172">
        <f t="shared" si="62"/>
        <v>0</v>
      </c>
      <c r="V87" s="172">
        <f t="shared" si="68"/>
        <v>0</v>
      </c>
      <c r="W87" s="171">
        <f>Pasākumu_līmenis!U60</f>
        <v>12</v>
      </c>
      <c r="X87" s="171">
        <v>62563116.609999999</v>
      </c>
      <c r="Y87" s="172">
        <v>1.3473072588958606</v>
      </c>
      <c r="Z87" s="171">
        <f>Pasākumu_līmenis!X60</f>
        <v>62563116.609999999</v>
      </c>
      <c r="AA87" s="172">
        <f t="shared" si="69"/>
        <v>1.3473072588958606</v>
      </c>
      <c r="AB87" s="172">
        <f t="shared" si="63"/>
        <v>0</v>
      </c>
      <c r="AC87" s="172">
        <f t="shared" si="59"/>
        <v>0</v>
      </c>
      <c r="AD87" s="171">
        <f>Pasākumu_līmenis!AB60</f>
        <v>12</v>
      </c>
      <c r="AE87" s="171">
        <v>62563116.609999999</v>
      </c>
      <c r="AF87" s="172">
        <v>1.3473072588958606</v>
      </c>
      <c r="AG87" s="171">
        <f>Pasākumu_līmenis!AE60</f>
        <v>62563116.609999999</v>
      </c>
      <c r="AH87" s="172">
        <f t="shared" si="70"/>
        <v>1.3473072588958606</v>
      </c>
      <c r="AI87" s="172">
        <f t="shared" si="64"/>
        <v>0</v>
      </c>
      <c r="AJ87" s="172">
        <f t="shared" si="60"/>
        <v>0</v>
      </c>
      <c r="AK87" s="171">
        <v>62563116.609999999</v>
      </c>
      <c r="AL87" s="172">
        <v>1.3473072588958606</v>
      </c>
    </row>
    <row r="88" spans="1:38" ht="21" customHeight="1" x14ac:dyDescent="0.3">
      <c r="A88" s="255" t="s">
        <v>405</v>
      </c>
      <c r="B88" s="256" t="str">
        <f>VLOOKUP(A88,saīsinājumi_LV_ENG!A:G,5,FALSE)</f>
        <v>Atkritumu reģenerācija</v>
      </c>
      <c r="C88" s="12" t="s">
        <v>403</v>
      </c>
      <c r="D88" s="44"/>
      <c r="E88" s="35" t="str">
        <f>Pasākumu_līmenis!D61</f>
        <v>KF</v>
      </c>
      <c r="F88" s="40" t="str">
        <f>Pasākumu_līmenis!E61</f>
        <v>VARAM</v>
      </c>
      <c r="G88" s="279" t="str">
        <f>VLOOKUP(A88,'2. Intervences kategorijas - Pa'!B:D,2,FALSE)</f>
        <v>06 - Saglabāt un aizsargāt vidi un uzlabot resursu izmantošanas efektivitāti</v>
      </c>
      <c r="H88" s="171">
        <f>Pasākumu_līmenis!F61</f>
        <v>9184249</v>
      </c>
      <c r="I88" s="171">
        <f>Pasākumu_līmenis!G61</f>
        <v>0</v>
      </c>
      <c r="J88" s="171">
        <f>Pasākumu_līmenis!H61</f>
        <v>9184249</v>
      </c>
      <c r="K88" s="171">
        <f>Pasākumu_līmenis!I61</f>
        <v>0</v>
      </c>
      <c r="L88" s="171">
        <f>Pasākumu_līmenis!J61</f>
        <v>9184249</v>
      </c>
      <c r="M88" s="172">
        <f>L88/$H88</f>
        <v>1</v>
      </c>
      <c r="N88" s="172">
        <f>M88-R88</f>
        <v>0</v>
      </c>
      <c r="O88" s="172">
        <f t="shared" si="66"/>
        <v>0</v>
      </c>
      <c r="P88" s="171">
        <f>Pasākumu_līmenis!N61</f>
        <v>1</v>
      </c>
      <c r="Q88" s="171">
        <v>9184249</v>
      </c>
      <c r="R88" s="172">
        <v>1</v>
      </c>
      <c r="S88" s="171">
        <f>Pasākumu_līmenis!Q61</f>
        <v>9184249</v>
      </c>
      <c r="T88" s="172">
        <f>S88/$H88</f>
        <v>1</v>
      </c>
      <c r="U88" s="172">
        <f>T88-Y88</f>
        <v>0</v>
      </c>
      <c r="V88" s="172">
        <f t="shared" si="68"/>
        <v>0</v>
      </c>
      <c r="W88" s="171">
        <f>Pasākumu_līmenis!U61</f>
        <v>1</v>
      </c>
      <c r="X88" s="171">
        <v>9184249</v>
      </c>
      <c r="Y88" s="172">
        <v>1</v>
      </c>
      <c r="Z88" s="171">
        <f>Pasākumu_līmenis!X61</f>
        <v>9184249</v>
      </c>
      <c r="AA88" s="172">
        <f>Z88/$H88</f>
        <v>1</v>
      </c>
      <c r="AB88" s="172">
        <f>AA88-AF88</f>
        <v>0</v>
      </c>
      <c r="AC88" s="172">
        <f t="shared" si="59"/>
        <v>0</v>
      </c>
      <c r="AD88" s="171">
        <f>Pasākumu_līmenis!AB61</f>
        <v>1</v>
      </c>
      <c r="AE88" s="171">
        <v>9184249</v>
      </c>
      <c r="AF88" s="172">
        <v>1</v>
      </c>
      <c r="AG88" s="171">
        <f>Pasākumu_līmenis!AE61</f>
        <v>9184249</v>
      </c>
      <c r="AH88" s="172">
        <f>AG88/$H88</f>
        <v>1</v>
      </c>
      <c r="AI88" s="172">
        <f>AH88-AL88</f>
        <v>0</v>
      </c>
      <c r="AJ88" s="172">
        <f t="shared" si="60"/>
        <v>0</v>
      </c>
      <c r="AK88" s="171">
        <v>9184249</v>
      </c>
      <c r="AL88" s="172">
        <v>1</v>
      </c>
    </row>
    <row r="89" spans="1:38" ht="77.25" customHeight="1" x14ac:dyDescent="0.3">
      <c r="A89" s="251" t="s">
        <v>54</v>
      </c>
      <c r="B89" s="252" t="str">
        <f>VLOOKUP(A89,saīsinājumi_LV_ENG!A:G,5,FALSE)</f>
        <v>Investēt ūdenssaimniecības nozarē, lai ievērotu Savienības acquis noteiktās prasības vides jomā</v>
      </c>
      <c r="C89" s="217" t="s">
        <v>62</v>
      </c>
      <c r="D89" s="218" t="str">
        <f ca="1">IFERROR(IF((VLOOKUP(A89,Pasākumu_līmenis!A:H,3,0))=0,"",VLOOKUP(A89,Pasākumu_līmenis!A:H,3,0)),"")</f>
        <v/>
      </c>
      <c r="E89" s="236"/>
      <c r="F89" s="219"/>
      <c r="G89" s="277"/>
      <c r="H89" s="220">
        <f>H90</f>
        <v>102562507</v>
      </c>
      <c r="I89" s="220">
        <f>I90</f>
        <v>0</v>
      </c>
      <c r="J89" s="220">
        <f>J90</f>
        <v>102562507</v>
      </c>
      <c r="K89" s="220">
        <f>K90</f>
        <v>0</v>
      </c>
      <c r="L89" s="220">
        <f>L90</f>
        <v>101505926.48999999</v>
      </c>
      <c r="M89" s="221">
        <f t="shared" si="65"/>
        <v>0.98969817976465801</v>
      </c>
      <c r="N89" s="221">
        <f t="shared" si="61"/>
        <v>0</v>
      </c>
      <c r="O89" s="221">
        <f t="shared" si="66"/>
        <v>0</v>
      </c>
      <c r="P89" s="220">
        <f>P90</f>
        <v>47</v>
      </c>
      <c r="Q89" s="220">
        <v>101505926.48999999</v>
      </c>
      <c r="R89" s="221">
        <v>0.98969817976465801</v>
      </c>
      <c r="S89" s="220">
        <f>S90</f>
        <v>101505926.48999999</v>
      </c>
      <c r="T89" s="221">
        <f t="shared" si="67"/>
        <v>0.98969817976465801</v>
      </c>
      <c r="U89" s="221">
        <f t="shared" si="62"/>
        <v>0</v>
      </c>
      <c r="V89" s="221">
        <f t="shared" si="68"/>
        <v>0</v>
      </c>
      <c r="W89" s="220">
        <f>W90</f>
        <v>47</v>
      </c>
      <c r="X89" s="220">
        <v>101505926.48999999</v>
      </c>
      <c r="Y89" s="221">
        <v>0.98969817976465801</v>
      </c>
      <c r="Z89" s="220">
        <f>Z90</f>
        <v>101505926.48999999</v>
      </c>
      <c r="AA89" s="221">
        <f t="shared" si="69"/>
        <v>0.98969817976465801</v>
      </c>
      <c r="AB89" s="221">
        <f t="shared" si="63"/>
        <v>0</v>
      </c>
      <c r="AC89" s="221">
        <f t="shared" si="59"/>
        <v>0</v>
      </c>
      <c r="AD89" s="220">
        <f>AD90</f>
        <v>47</v>
      </c>
      <c r="AE89" s="220">
        <v>101505926.48999999</v>
      </c>
      <c r="AF89" s="221">
        <v>0.98969817976465801</v>
      </c>
      <c r="AG89" s="220">
        <f>AG90</f>
        <v>101207903.51000001</v>
      </c>
      <c r="AH89" s="221">
        <f t="shared" si="70"/>
        <v>0.98679241050533217</v>
      </c>
      <c r="AI89" s="221">
        <f t="shared" si="64"/>
        <v>0</v>
      </c>
      <c r="AJ89" s="221">
        <f t="shared" si="60"/>
        <v>0</v>
      </c>
      <c r="AK89" s="220">
        <v>101207903.51000001</v>
      </c>
      <c r="AL89" s="221">
        <v>0.98679241050533217</v>
      </c>
    </row>
    <row r="90" spans="1:38" ht="21" customHeight="1" x14ac:dyDescent="0.3">
      <c r="A90" s="257" t="s">
        <v>277</v>
      </c>
      <c r="B90" s="256" t="str">
        <f>VLOOKUP(A90,saīsinājumi_LV_ENG!A:G,5,FALSE)</f>
        <v>Ūdenssaimniecība</v>
      </c>
      <c r="C90" s="12" t="s">
        <v>63</v>
      </c>
      <c r="D90" s="44"/>
      <c r="E90" s="35" t="str">
        <f>Pasākumu_līmenis!D62</f>
        <v>KF</v>
      </c>
      <c r="F90" s="40" t="str">
        <f>Pasākumu_līmenis!E62</f>
        <v>VARAM</v>
      </c>
      <c r="G90" s="279" t="str">
        <f>VLOOKUP(A90,'2. Intervences kategorijas - Pa'!B:D,2,FALSE)</f>
        <v>06 - Saglabāt un aizsargāt vidi un uzlabot resursu izmantošanas efektivitāti</v>
      </c>
      <c r="H90" s="171">
        <f>Pasākumu_līmenis!F62</f>
        <v>102562507</v>
      </c>
      <c r="I90" s="171">
        <f>Pasākumu_līmenis!G62</f>
        <v>0</v>
      </c>
      <c r="J90" s="171">
        <f>Pasākumu_līmenis!H62</f>
        <v>102562507</v>
      </c>
      <c r="K90" s="171">
        <f>Pasākumu_līmenis!I62</f>
        <v>0</v>
      </c>
      <c r="L90" s="171">
        <f>Pasākumu_līmenis!J62</f>
        <v>101505926.48999999</v>
      </c>
      <c r="M90" s="172">
        <f t="shared" si="65"/>
        <v>0.98969817976465801</v>
      </c>
      <c r="N90" s="172">
        <f t="shared" si="61"/>
        <v>0</v>
      </c>
      <c r="O90" s="172">
        <f t="shared" si="66"/>
        <v>0</v>
      </c>
      <c r="P90" s="171">
        <f>Pasākumu_līmenis!N62</f>
        <v>47</v>
      </c>
      <c r="Q90" s="171">
        <v>101505926.48999999</v>
      </c>
      <c r="R90" s="172">
        <v>0.98969817976465801</v>
      </c>
      <c r="S90" s="171">
        <f>Pasākumu_līmenis!Q62</f>
        <v>101505926.48999999</v>
      </c>
      <c r="T90" s="172">
        <f t="shared" si="67"/>
        <v>0.98969817976465801</v>
      </c>
      <c r="U90" s="172">
        <f t="shared" si="62"/>
        <v>0</v>
      </c>
      <c r="V90" s="172">
        <f t="shared" si="68"/>
        <v>0</v>
      </c>
      <c r="W90" s="171">
        <f>Pasākumu_līmenis!U62</f>
        <v>47</v>
      </c>
      <c r="X90" s="171">
        <v>101505926.48999999</v>
      </c>
      <c r="Y90" s="172">
        <v>0.98969817976465801</v>
      </c>
      <c r="Z90" s="171">
        <f>Pasākumu_līmenis!X62</f>
        <v>101505926.48999999</v>
      </c>
      <c r="AA90" s="172">
        <f t="shared" si="69"/>
        <v>0.98969817976465801</v>
      </c>
      <c r="AB90" s="172">
        <f t="shared" si="63"/>
        <v>0</v>
      </c>
      <c r="AC90" s="172">
        <f t="shared" si="59"/>
        <v>0</v>
      </c>
      <c r="AD90" s="171">
        <f>Pasākumu_līmenis!AB62</f>
        <v>47</v>
      </c>
      <c r="AE90" s="171">
        <v>101505926.48999999</v>
      </c>
      <c r="AF90" s="172">
        <v>0.98969817976465801</v>
      </c>
      <c r="AG90" s="171">
        <f>Pasākumu_līmenis!AE62</f>
        <v>101207903.51000001</v>
      </c>
      <c r="AH90" s="172">
        <f t="shared" si="70"/>
        <v>0.98679241050533217</v>
      </c>
      <c r="AI90" s="172">
        <f t="shared" si="64"/>
        <v>0</v>
      </c>
      <c r="AJ90" s="172">
        <f t="shared" si="60"/>
        <v>0</v>
      </c>
      <c r="AK90" s="171">
        <v>101207903.51000001</v>
      </c>
      <c r="AL90" s="172">
        <v>0.98679241050533217</v>
      </c>
    </row>
    <row r="91" spans="1:38" ht="39.75" customHeight="1" x14ac:dyDescent="0.3">
      <c r="A91" s="251" t="s">
        <v>55</v>
      </c>
      <c r="B91" s="252" t="str">
        <f>VLOOKUP(A91,saīsinājumi_LV_ENG!A:G,5,FALSE)</f>
        <v>Bioloģiskās daudzveidības atjaunošana un aizsargāšana</v>
      </c>
      <c r="C91" s="217" t="s">
        <v>64</v>
      </c>
      <c r="D91" s="218" t="str">
        <f ca="1">IFERROR(IF((VLOOKUP(A91,Pasākumu_līmenis!A:H,3,0))=0,"",VLOOKUP(A91,Pasākumu_līmenis!A:H,3,0)),"")</f>
        <v/>
      </c>
      <c r="E91" s="236"/>
      <c r="F91" s="219"/>
      <c r="G91" s="277"/>
      <c r="H91" s="220">
        <f>H92+H94+H97</f>
        <v>35602659</v>
      </c>
      <c r="I91" s="220">
        <f>I92+I94+I97</f>
        <v>0</v>
      </c>
      <c r="J91" s="220">
        <f>J92+J94+J97</f>
        <v>35602659</v>
      </c>
      <c r="K91" s="220">
        <f>K92+K94+K98</f>
        <v>2289729</v>
      </c>
      <c r="L91" s="220">
        <f>L92+L94+L97</f>
        <v>34973053.940000005</v>
      </c>
      <c r="M91" s="221">
        <f t="shared" si="65"/>
        <v>0.98231578545860876</v>
      </c>
      <c r="N91" s="221">
        <f t="shared" si="61"/>
        <v>0</v>
      </c>
      <c r="O91" s="221">
        <f t="shared" si="66"/>
        <v>0</v>
      </c>
      <c r="P91" s="220">
        <f>P92+P94+P97</f>
        <v>25</v>
      </c>
      <c r="Q91" s="220">
        <v>34973053.940000005</v>
      </c>
      <c r="R91" s="221">
        <v>0.98231578545860876</v>
      </c>
      <c r="S91" s="220">
        <f>S92+S94+S97</f>
        <v>34973053.940000005</v>
      </c>
      <c r="T91" s="221">
        <f t="shared" si="67"/>
        <v>0.98231578545860876</v>
      </c>
      <c r="U91" s="221">
        <f t="shared" si="62"/>
        <v>0</v>
      </c>
      <c r="V91" s="221">
        <f t="shared" si="68"/>
        <v>0</v>
      </c>
      <c r="W91" s="220">
        <f>W92+W94+W97</f>
        <v>25</v>
      </c>
      <c r="X91" s="220">
        <v>34973053.940000005</v>
      </c>
      <c r="Y91" s="221">
        <v>0.98231578545860876</v>
      </c>
      <c r="Z91" s="220">
        <f>Z92+Z94+Z97</f>
        <v>34973053.940000005</v>
      </c>
      <c r="AA91" s="221">
        <f t="shared" si="69"/>
        <v>0.98231578545860876</v>
      </c>
      <c r="AB91" s="221">
        <f t="shared" si="63"/>
        <v>0</v>
      </c>
      <c r="AC91" s="221">
        <f t="shared" si="59"/>
        <v>0</v>
      </c>
      <c r="AD91" s="220">
        <f>AD92+AD94+AD97</f>
        <v>25</v>
      </c>
      <c r="AE91" s="220">
        <v>34973053.940000005</v>
      </c>
      <c r="AF91" s="221">
        <v>0.98231578545860876</v>
      </c>
      <c r="AG91" s="220">
        <f>AG92+AG94+AG97</f>
        <v>34973053.940000005</v>
      </c>
      <c r="AH91" s="221">
        <f t="shared" si="70"/>
        <v>0.98231578545860876</v>
      </c>
      <c r="AI91" s="221">
        <f t="shared" si="64"/>
        <v>0</v>
      </c>
      <c r="AJ91" s="221">
        <f t="shared" si="60"/>
        <v>0</v>
      </c>
      <c r="AK91" s="220">
        <v>34973053.940000005</v>
      </c>
      <c r="AL91" s="221">
        <v>0.98231578545860876</v>
      </c>
    </row>
    <row r="92" spans="1:38" ht="21" customHeight="1" x14ac:dyDescent="0.3">
      <c r="A92" s="253" t="s">
        <v>438</v>
      </c>
      <c r="B92" s="254" t="str">
        <f>VLOOKUP(A92,saīsinājumi_LV_ENG!A:G,5,FALSE)</f>
        <v>Bioloģiskā daudzveidība</v>
      </c>
      <c r="C92" s="222" t="s">
        <v>65</v>
      </c>
      <c r="D92" s="223" t="str">
        <f ca="1">IFERROR(IF((VLOOKUP(A92,Pasākumu_līmenis!A:H,3,0))=0,"",VLOOKUP(A92,Pasākumu_līmenis!A:H,3,0)),"")</f>
        <v/>
      </c>
      <c r="E92" s="235"/>
      <c r="F92" s="224"/>
      <c r="G92" s="278"/>
      <c r="H92" s="225">
        <f>SUM(H93:H93)</f>
        <v>3072721</v>
      </c>
      <c r="I92" s="225">
        <f>SUM(I93:I93)</f>
        <v>0</v>
      </c>
      <c r="J92" s="225">
        <f>SUM(J93:J93)</f>
        <v>3072721</v>
      </c>
      <c r="K92" s="225">
        <f>SUM(K93:K93)</f>
        <v>0</v>
      </c>
      <c r="L92" s="225">
        <f>SUM(L93:L93)</f>
        <v>3072720.94</v>
      </c>
      <c r="M92" s="226">
        <f t="shared" si="65"/>
        <v>0.99999998047333294</v>
      </c>
      <c r="N92" s="226">
        <f t="shared" si="61"/>
        <v>0</v>
      </c>
      <c r="O92" s="226">
        <f t="shared" si="66"/>
        <v>0</v>
      </c>
      <c r="P92" s="225">
        <f>SUM(P93:P93)</f>
        <v>13</v>
      </c>
      <c r="Q92" s="225">
        <v>3072720.94</v>
      </c>
      <c r="R92" s="226">
        <v>0.99999998047333294</v>
      </c>
      <c r="S92" s="225">
        <f>SUM(S93:S93)</f>
        <v>3072720.94</v>
      </c>
      <c r="T92" s="226">
        <f t="shared" si="67"/>
        <v>0.99999998047333294</v>
      </c>
      <c r="U92" s="226">
        <f t="shared" si="62"/>
        <v>0</v>
      </c>
      <c r="V92" s="226">
        <f t="shared" si="68"/>
        <v>0</v>
      </c>
      <c r="W92" s="225">
        <f>SUM(W93:W93)</f>
        <v>13</v>
      </c>
      <c r="X92" s="225">
        <v>3072720.94</v>
      </c>
      <c r="Y92" s="226">
        <v>0.99999998047333294</v>
      </c>
      <c r="Z92" s="225">
        <f>SUM(Z93:Z93)</f>
        <v>3072720.94</v>
      </c>
      <c r="AA92" s="226">
        <f t="shared" si="69"/>
        <v>0.99999998047333294</v>
      </c>
      <c r="AB92" s="226">
        <f t="shared" si="63"/>
        <v>0</v>
      </c>
      <c r="AC92" s="226">
        <f t="shared" si="59"/>
        <v>0</v>
      </c>
      <c r="AD92" s="225">
        <f>SUM(AD93:AD93)</f>
        <v>13</v>
      </c>
      <c r="AE92" s="225">
        <v>3072720.94</v>
      </c>
      <c r="AF92" s="226">
        <v>0.99999998047333294</v>
      </c>
      <c r="AG92" s="225">
        <f>SUM(AG93:AG93)</f>
        <v>3072720.94</v>
      </c>
      <c r="AH92" s="226">
        <f t="shared" si="70"/>
        <v>0.99999998047333294</v>
      </c>
      <c r="AI92" s="226">
        <f t="shared" si="64"/>
        <v>0</v>
      </c>
      <c r="AJ92" s="226">
        <f t="shared" si="60"/>
        <v>0</v>
      </c>
      <c r="AK92" s="225">
        <v>3072720.94</v>
      </c>
      <c r="AL92" s="226">
        <v>0.99999998047333294</v>
      </c>
    </row>
    <row r="93" spans="1:38" ht="39.75" customHeight="1" x14ac:dyDescent="0.3">
      <c r="A93" s="255" t="s">
        <v>278</v>
      </c>
      <c r="B93" s="256" t="str">
        <f>VLOOKUP(A93,saīsinājumi_LV_ENG!A:G,5,FALSE)</f>
        <v>Infrastruktūra Natura 2000 teritorijās</v>
      </c>
      <c r="C93" s="12" t="s">
        <v>188</v>
      </c>
      <c r="D93" s="44"/>
      <c r="E93" s="35" t="str">
        <f>Pasākumu_līmenis!D63</f>
        <v>ERAF</v>
      </c>
      <c r="F93" s="40" t="str">
        <f>Pasākumu_līmenis!E63</f>
        <v>VARAM</v>
      </c>
      <c r="G93" s="279" t="str">
        <f>VLOOKUP(A93,'2. Intervences kategorijas - Pa'!B:D,2,FALSE)</f>
        <v>06 - Saglabāt un aizsargāt vidi un uzlabot resursu izmantošanas efektivitāti</v>
      </c>
      <c r="H93" s="171">
        <f>Pasākumu_līmenis!F63</f>
        <v>3072721</v>
      </c>
      <c r="I93" s="171">
        <f>Pasākumu_līmenis!G63</f>
        <v>0</v>
      </c>
      <c r="J93" s="171">
        <f>Pasākumu_līmenis!H63</f>
        <v>3072721</v>
      </c>
      <c r="K93" s="171">
        <f>Pasākumu_līmenis!I63</f>
        <v>0</v>
      </c>
      <c r="L93" s="171">
        <f>Pasākumu_līmenis!J63</f>
        <v>3072720.94</v>
      </c>
      <c r="M93" s="172">
        <f t="shared" si="65"/>
        <v>0.99999998047333294</v>
      </c>
      <c r="N93" s="172">
        <f t="shared" si="61"/>
        <v>0</v>
      </c>
      <c r="O93" s="172">
        <f t="shared" si="66"/>
        <v>0</v>
      </c>
      <c r="P93" s="171">
        <f>Pasākumu_līmenis!N63</f>
        <v>13</v>
      </c>
      <c r="Q93" s="171">
        <v>3072720.94</v>
      </c>
      <c r="R93" s="172">
        <v>0.99999998047333294</v>
      </c>
      <c r="S93" s="171">
        <f>Pasākumu_līmenis!Q63</f>
        <v>3072720.94</v>
      </c>
      <c r="T93" s="172">
        <f t="shared" si="67"/>
        <v>0.99999998047333294</v>
      </c>
      <c r="U93" s="172">
        <f t="shared" si="62"/>
        <v>0</v>
      </c>
      <c r="V93" s="172">
        <f t="shared" si="68"/>
        <v>0</v>
      </c>
      <c r="W93" s="171">
        <f>Pasākumu_līmenis!U63</f>
        <v>13</v>
      </c>
      <c r="X93" s="171">
        <v>3072720.94</v>
      </c>
      <c r="Y93" s="172">
        <v>0.99999998047333294</v>
      </c>
      <c r="Z93" s="171">
        <f>Pasākumu_līmenis!X63</f>
        <v>3072720.94</v>
      </c>
      <c r="AA93" s="172">
        <f t="shared" si="69"/>
        <v>0.99999998047333294</v>
      </c>
      <c r="AB93" s="172">
        <f t="shared" si="63"/>
        <v>0</v>
      </c>
      <c r="AC93" s="172">
        <f t="shared" si="59"/>
        <v>0</v>
      </c>
      <c r="AD93" s="171">
        <f>Pasākumu_līmenis!AB63</f>
        <v>13</v>
      </c>
      <c r="AE93" s="171">
        <v>3072720.94</v>
      </c>
      <c r="AF93" s="172">
        <v>0.99999998047333294</v>
      </c>
      <c r="AG93" s="171">
        <f>Pasākumu_līmenis!AE63</f>
        <v>3072720.94</v>
      </c>
      <c r="AH93" s="172">
        <f t="shared" si="70"/>
        <v>0.99999998047333294</v>
      </c>
      <c r="AI93" s="172">
        <f t="shared" si="64"/>
        <v>0</v>
      </c>
      <c r="AJ93" s="172">
        <f t="shared" si="60"/>
        <v>0</v>
      </c>
      <c r="AK93" s="171">
        <v>3072720.94</v>
      </c>
      <c r="AL93" s="172">
        <v>0.99999998047333294</v>
      </c>
    </row>
    <row r="94" spans="1:38" ht="39.75" customHeight="1" x14ac:dyDescent="0.3">
      <c r="A94" s="253" t="s">
        <v>439</v>
      </c>
      <c r="B94" s="254" t="str">
        <f>VLOOKUP(A94,saīsinājumi_LV_ENG!A:G,5,FALSE)</f>
        <v>Vides monitorings un vides risku novēršana</v>
      </c>
      <c r="C94" s="222" t="s">
        <v>66</v>
      </c>
      <c r="D94" s="223" t="str">
        <f ca="1">IFERROR(IF((VLOOKUP(A94,Pasākumu_līmenis!A:H,3,0))=0,"",VLOOKUP(A94,Pasākumu_līmenis!A:H,3,0)),"")</f>
        <v/>
      </c>
      <c r="E94" s="235"/>
      <c r="F94" s="224"/>
      <c r="G94" s="278"/>
      <c r="H94" s="225">
        <f>SUM(H95:H96)</f>
        <v>26224830</v>
      </c>
      <c r="I94" s="225">
        <f>SUM(I95:I96)</f>
        <v>0</v>
      </c>
      <c r="J94" s="225">
        <f>SUM(J95:J96)</f>
        <v>26224830</v>
      </c>
      <c r="K94" s="225">
        <f>SUM(K95:K96)</f>
        <v>2289729</v>
      </c>
      <c r="L94" s="225">
        <f>SUM(L95:L96)</f>
        <v>26102930.060000002</v>
      </c>
      <c r="M94" s="226">
        <f t="shared" si="65"/>
        <v>0.99535173574051772</v>
      </c>
      <c r="N94" s="226">
        <f t="shared" si="61"/>
        <v>0</v>
      </c>
      <c r="O94" s="226">
        <f t="shared" si="66"/>
        <v>0</v>
      </c>
      <c r="P94" s="225">
        <f>SUM(P95:P96)</f>
        <v>5</v>
      </c>
      <c r="Q94" s="225">
        <v>26102930.060000002</v>
      </c>
      <c r="R94" s="226">
        <v>0.99535173574051772</v>
      </c>
      <c r="S94" s="225">
        <f>SUM(S95:S96)</f>
        <v>26102930.060000002</v>
      </c>
      <c r="T94" s="226">
        <f t="shared" si="67"/>
        <v>0.99535173574051772</v>
      </c>
      <c r="U94" s="226">
        <f t="shared" si="62"/>
        <v>0</v>
      </c>
      <c r="V94" s="226">
        <f t="shared" si="68"/>
        <v>0</v>
      </c>
      <c r="W94" s="225">
        <f>SUM(W95:W96)</f>
        <v>5</v>
      </c>
      <c r="X94" s="225">
        <v>26102930.060000002</v>
      </c>
      <c r="Y94" s="226">
        <v>0.99535173574051772</v>
      </c>
      <c r="Z94" s="225">
        <f>SUM(Z95:Z96)</f>
        <v>26102930.060000002</v>
      </c>
      <c r="AA94" s="226">
        <f t="shared" si="69"/>
        <v>0.99535173574051772</v>
      </c>
      <c r="AB94" s="226">
        <f t="shared" si="63"/>
        <v>0</v>
      </c>
      <c r="AC94" s="226">
        <f t="shared" si="59"/>
        <v>0</v>
      </c>
      <c r="AD94" s="225">
        <f>SUM(AD95:AD96)</f>
        <v>5</v>
      </c>
      <c r="AE94" s="225">
        <v>26102930.060000002</v>
      </c>
      <c r="AF94" s="226">
        <v>0.99535173574051772</v>
      </c>
      <c r="AG94" s="225">
        <f>SUM(AG95:AG96)</f>
        <v>26102930.060000002</v>
      </c>
      <c r="AH94" s="226">
        <f t="shared" si="70"/>
        <v>0.99535173574051772</v>
      </c>
      <c r="AI94" s="226">
        <f t="shared" si="64"/>
        <v>0</v>
      </c>
      <c r="AJ94" s="226">
        <f t="shared" si="60"/>
        <v>0</v>
      </c>
      <c r="AK94" s="225">
        <v>26102930.060000002</v>
      </c>
      <c r="AL94" s="226">
        <v>0.99535173574051772</v>
      </c>
    </row>
    <row r="95" spans="1:38" ht="21" customHeight="1" x14ac:dyDescent="0.3">
      <c r="A95" s="255" t="s">
        <v>279</v>
      </c>
      <c r="B95" s="256" t="str">
        <f>VLOOKUP(A95,saīsinājumi_LV_ENG!A:G,5,FALSE)</f>
        <v>Biotopu un sugu kartēšana</v>
      </c>
      <c r="C95" s="12" t="s">
        <v>190</v>
      </c>
      <c r="D95" s="44"/>
      <c r="E95" s="35" t="str">
        <f>Pasākumu_līmenis!D64</f>
        <v>KF</v>
      </c>
      <c r="F95" s="40" t="str">
        <f>Pasākumu_līmenis!E64</f>
        <v>VARAM</v>
      </c>
      <c r="G95" s="279" t="str">
        <f>VLOOKUP(A95,'2. Intervences kategorijas - Pa'!B:D,2,FALSE)</f>
        <v>06 - Saglabāt un aizsargāt vidi un uzlabot resursu izmantošanas efektivitāti</v>
      </c>
      <c r="H95" s="171">
        <f>Pasākumu_līmenis!F64</f>
        <v>8723624</v>
      </c>
      <c r="I95" s="171">
        <f>Pasākumu_līmenis!G64</f>
        <v>0</v>
      </c>
      <c r="J95" s="171">
        <f>Pasākumu_līmenis!H64</f>
        <v>8723624</v>
      </c>
      <c r="K95" s="171">
        <f>Pasākumu_līmenis!I64</f>
        <v>0</v>
      </c>
      <c r="L95" s="171">
        <f>Pasākumu_līmenis!J64</f>
        <v>8720098.6199999992</v>
      </c>
      <c r="M95" s="172">
        <f t="shared" si="65"/>
        <v>0.99959588125302046</v>
      </c>
      <c r="N95" s="172">
        <f t="shared" si="61"/>
        <v>0</v>
      </c>
      <c r="O95" s="172">
        <f t="shared" si="66"/>
        <v>0</v>
      </c>
      <c r="P95" s="171">
        <f>Pasākumu_līmenis!N64</f>
        <v>1</v>
      </c>
      <c r="Q95" s="171">
        <v>8720098.6199999992</v>
      </c>
      <c r="R95" s="172">
        <v>0.99959588125302046</v>
      </c>
      <c r="S95" s="171">
        <f>Pasākumu_līmenis!Q64</f>
        <v>8720098.6199999992</v>
      </c>
      <c r="T95" s="172">
        <f t="shared" si="67"/>
        <v>0.99959588125302046</v>
      </c>
      <c r="U95" s="172">
        <f t="shared" si="62"/>
        <v>0</v>
      </c>
      <c r="V95" s="172">
        <f t="shared" si="68"/>
        <v>0</v>
      </c>
      <c r="W95" s="171">
        <f>Pasākumu_līmenis!U64</f>
        <v>1</v>
      </c>
      <c r="X95" s="171">
        <v>8720098.6199999992</v>
      </c>
      <c r="Y95" s="172">
        <v>0.99959588125302046</v>
      </c>
      <c r="Z95" s="171">
        <f>Pasākumu_līmenis!X64</f>
        <v>8720098.6199999992</v>
      </c>
      <c r="AA95" s="172">
        <f t="shared" si="69"/>
        <v>0.99959588125302046</v>
      </c>
      <c r="AB95" s="172">
        <f t="shared" si="63"/>
        <v>0</v>
      </c>
      <c r="AC95" s="172">
        <f t="shared" si="59"/>
        <v>0</v>
      </c>
      <c r="AD95" s="171">
        <f>Pasākumu_līmenis!AB64</f>
        <v>1</v>
      </c>
      <c r="AE95" s="171">
        <v>8720098.6199999992</v>
      </c>
      <c r="AF95" s="172">
        <v>0.99959588125302046</v>
      </c>
      <c r="AG95" s="171">
        <f>Pasākumu_līmenis!AE64</f>
        <v>8720098.6199999992</v>
      </c>
      <c r="AH95" s="172">
        <f t="shared" si="70"/>
        <v>0.99959588125302046</v>
      </c>
      <c r="AI95" s="172">
        <f t="shared" si="64"/>
        <v>0</v>
      </c>
      <c r="AJ95" s="172">
        <f t="shared" si="60"/>
        <v>0</v>
      </c>
      <c r="AK95" s="171">
        <v>8720098.6199999992</v>
      </c>
      <c r="AL95" s="172">
        <v>0.99959588125302046</v>
      </c>
    </row>
    <row r="96" spans="1:38" ht="21" customHeight="1" x14ac:dyDescent="0.3">
      <c r="A96" s="255" t="s">
        <v>280</v>
      </c>
      <c r="B96" s="256" t="str">
        <f>VLOOKUP(A96,saīsinājumi_LV_ENG!A:G,5,FALSE)</f>
        <v>Vides monitorings</v>
      </c>
      <c r="C96" s="12" t="s">
        <v>191</v>
      </c>
      <c r="D96" s="44"/>
      <c r="E96" s="35" t="str">
        <f>Pasākumu_līmenis!D65</f>
        <v>KF</v>
      </c>
      <c r="F96" s="40" t="str">
        <f>Pasākumu_līmenis!E65</f>
        <v>VARAM</v>
      </c>
      <c r="G96" s="279" t="str">
        <f>VLOOKUP(A96,'2. Intervences kategorijas - Pa'!B:D,2,FALSE)</f>
        <v>06 - Saglabāt un aizsargāt vidi un uzlabot resursu izmantošanas efektivitāti</v>
      </c>
      <c r="H96" s="171">
        <f>Pasākumu_līmenis!F65</f>
        <v>17501206</v>
      </c>
      <c r="I96" s="171">
        <f>Pasākumu_līmenis!G65</f>
        <v>0</v>
      </c>
      <c r="J96" s="171">
        <f>Pasākumu_līmenis!H65</f>
        <v>17501206</v>
      </c>
      <c r="K96" s="171">
        <f>Pasākumu_līmenis!I65</f>
        <v>2289729</v>
      </c>
      <c r="L96" s="171">
        <f>Pasākumu_līmenis!J65</f>
        <v>17382831.440000001</v>
      </c>
      <c r="M96" s="172">
        <f t="shared" si="65"/>
        <v>0.99323620555063474</v>
      </c>
      <c r="N96" s="172">
        <f t="shared" si="61"/>
        <v>0</v>
      </c>
      <c r="O96" s="172">
        <f t="shared" si="66"/>
        <v>0</v>
      </c>
      <c r="P96" s="171">
        <f>Pasākumu_līmenis!N65</f>
        <v>4</v>
      </c>
      <c r="Q96" s="171">
        <v>17382831.440000001</v>
      </c>
      <c r="R96" s="172">
        <v>0.99323620555063474</v>
      </c>
      <c r="S96" s="171">
        <f>Pasākumu_līmenis!Q65</f>
        <v>17382831.440000001</v>
      </c>
      <c r="T96" s="172">
        <f t="shared" si="67"/>
        <v>0.99323620555063474</v>
      </c>
      <c r="U96" s="172">
        <f t="shared" si="62"/>
        <v>0</v>
      </c>
      <c r="V96" s="172">
        <f t="shared" si="68"/>
        <v>0</v>
      </c>
      <c r="W96" s="171">
        <f>Pasākumu_līmenis!U65</f>
        <v>4</v>
      </c>
      <c r="X96" s="171">
        <v>17382831.440000001</v>
      </c>
      <c r="Y96" s="172">
        <v>0.99323620555063474</v>
      </c>
      <c r="Z96" s="171">
        <f>Pasākumu_līmenis!X65</f>
        <v>17382831.440000001</v>
      </c>
      <c r="AA96" s="172">
        <f t="shared" si="69"/>
        <v>0.99323620555063474</v>
      </c>
      <c r="AB96" s="172">
        <f>AA96-AF96</f>
        <v>0</v>
      </c>
      <c r="AC96" s="172">
        <f t="shared" si="59"/>
        <v>0</v>
      </c>
      <c r="AD96" s="171">
        <f>Pasākumu_līmenis!AB65</f>
        <v>4</v>
      </c>
      <c r="AE96" s="171">
        <v>17382831.440000001</v>
      </c>
      <c r="AF96" s="172">
        <v>0.99323620555063474</v>
      </c>
      <c r="AG96" s="171">
        <f>Pasākumu_līmenis!AE65</f>
        <v>17382831.440000001</v>
      </c>
      <c r="AH96" s="172">
        <f t="shared" si="70"/>
        <v>0.99323620555063474</v>
      </c>
      <c r="AI96" s="172">
        <f t="shared" si="64"/>
        <v>0</v>
      </c>
      <c r="AJ96" s="172">
        <f>IFERROR(((AG96-AK96)/AK96),0)</f>
        <v>0</v>
      </c>
      <c r="AK96" s="171">
        <v>17382831.440000001</v>
      </c>
      <c r="AL96" s="172">
        <v>0.99323620555063474</v>
      </c>
    </row>
    <row r="97" spans="1:38" ht="21" customHeight="1" x14ac:dyDescent="0.3">
      <c r="A97" s="253" t="s">
        <v>1244</v>
      </c>
      <c r="B97" s="254" t="str">
        <f>VLOOKUP(A97,saīsinājumi_LV_ENG!A:G,5,FALSE)</f>
        <v>Biotopu atjaunošana</v>
      </c>
      <c r="C97" s="222" t="s">
        <v>189</v>
      </c>
      <c r="D97" s="223"/>
      <c r="E97" s="235"/>
      <c r="F97" s="224" t="str">
        <f>Pasākumu_līmenis!E66</f>
        <v>VARAM</v>
      </c>
      <c r="G97" s="278" t="str">
        <f>VLOOKUP(A97,'2. Intervences kategorijas - Pa'!B:D,2,FALSE)</f>
        <v>06 - Saglabāt un aizsargāt vidi un uzlabot resursu izmantošanas efektivitāti</v>
      </c>
      <c r="H97" s="225">
        <f>SUM(H98:H99)</f>
        <v>6305108</v>
      </c>
      <c r="I97" s="225">
        <f t="shared" ref="I97:AG97" si="71">SUM(I98:I99)</f>
        <v>0</v>
      </c>
      <c r="J97" s="225">
        <f t="shared" si="71"/>
        <v>6305108</v>
      </c>
      <c r="K97" s="225">
        <f t="shared" si="71"/>
        <v>1</v>
      </c>
      <c r="L97" s="225">
        <f t="shared" si="71"/>
        <v>5797402.9399999995</v>
      </c>
      <c r="M97" s="226">
        <f>L97/$H97</f>
        <v>0.91947718262716505</v>
      </c>
      <c r="N97" s="226">
        <f>M97-R97</f>
        <v>0</v>
      </c>
      <c r="O97" s="226">
        <f>IFERROR(((L97-Q97)/Q97),0)</f>
        <v>0</v>
      </c>
      <c r="P97" s="225">
        <f t="shared" si="71"/>
        <v>7</v>
      </c>
      <c r="Q97" s="225">
        <v>5797402.9399999995</v>
      </c>
      <c r="R97" s="226">
        <v>0.91947718262716505</v>
      </c>
      <c r="S97" s="225">
        <f t="shared" si="71"/>
        <v>5797402.9399999995</v>
      </c>
      <c r="T97" s="226">
        <f>S97/$H97</f>
        <v>0.91947718262716505</v>
      </c>
      <c r="U97" s="226">
        <f>T97-Y97</f>
        <v>0</v>
      </c>
      <c r="V97" s="226">
        <f>IFERROR(((S97-X97)/X97),0)</f>
        <v>0</v>
      </c>
      <c r="W97" s="225">
        <f t="shared" si="71"/>
        <v>7</v>
      </c>
      <c r="X97" s="225">
        <v>5797402.9399999995</v>
      </c>
      <c r="Y97" s="226">
        <v>0.91947718262716505</v>
      </c>
      <c r="Z97" s="225">
        <f t="shared" si="71"/>
        <v>5797402.9399999995</v>
      </c>
      <c r="AA97" s="226">
        <f>Z97/$H97</f>
        <v>0.91947718262716505</v>
      </c>
      <c r="AB97" s="226">
        <f>AA97-AF97</f>
        <v>0</v>
      </c>
      <c r="AC97" s="226">
        <f>IFERROR(((Z97-AE97)/AE97),0)</f>
        <v>0</v>
      </c>
      <c r="AD97" s="225">
        <f t="shared" si="71"/>
        <v>7</v>
      </c>
      <c r="AE97" s="225">
        <v>5797402.9399999995</v>
      </c>
      <c r="AF97" s="226">
        <v>0.91947718262716505</v>
      </c>
      <c r="AG97" s="225">
        <f t="shared" si="71"/>
        <v>5797402.9399999995</v>
      </c>
      <c r="AH97" s="226">
        <f>AG97/$H97</f>
        <v>0.91947718262716505</v>
      </c>
      <c r="AI97" s="226">
        <f>AH97-AL97</f>
        <v>0</v>
      </c>
      <c r="AJ97" s="226">
        <f>IFERROR(((AG97-AK97)/AK97),0)</f>
        <v>0</v>
      </c>
      <c r="AK97" s="225">
        <v>5797402.9399999995</v>
      </c>
      <c r="AL97" s="226">
        <v>0.91947718262716505</v>
      </c>
    </row>
    <row r="98" spans="1:38" ht="21" customHeight="1" x14ac:dyDescent="0.3">
      <c r="A98" s="257" t="s">
        <v>1366</v>
      </c>
      <c r="B98" s="256" t="str">
        <f>VLOOKUP(A98,saīsinājumi_LV_ENG!A:G,5,FALSE)</f>
        <v>Dzīvotņu atjaunošana</v>
      </c>
      <c r="C98" s="12"/>
      <c r="D98" s="40"/>
      <c r="E98" s="35" t="str">
        <f>Pasākumu_līmenis!D66</f>
        <v>KF</v>
      </c>
      <c r="F98" s="40" t="str">
        <f>Pasākumu_līmenis!E66</f>
        <v>VARAM</v>
      </c>
      <c r="G98" s="279"/>
      <c r="H98" s="171">
        <f>Pasākumu_līmenis!F66</f>
        <v>3000000</v>
      </c>
      <c r="I98" s="171">
        <f>Pasākumu_līmenis!G66</f>
        <v>0</v>
      </c>
      <c r="J98" s="171">
        <f>Pasākumu_līmenis!H66</f>
        <v>3000000</v>
      </c>
      <c r="K98" s="171">
        <f>Pasākumu_līmenis!I66</f>
        <v>0</v>
      </c>
      <c r="L98" s="171">
        <f>Pasākumu_līmenis!J66</f>
        <v>2890541.68</v>
      </c>
      <c r="M98" s="172">
        <f>L98/$H98</f>
        <v>0.96351389333333337</v>
      </c>
      <c r="N98" s="172">
        <f>M98-R98</f>
        <v>0</v>
      </c>
      <c r="O98" s="172">
        <f>IFERROR(((L98-Q98)/Q98),0)</f>
        <v>0</v>
      </c>
      <c r="P98" s="171">
        <f>Pasākumu_līmenis!N66</f>
        <v>1</v>
      </c>
      <c r="Q98" s="171">
        <v>2890541.68</v>
      </c>
      <c r="R98" s="172">
        <v>0.96351389333333337</v>
      </c>
      <c r="S98" s="171">
        <f>Pasākumu_līmenis!Q66</f>
        <v>2890541.68</v>
      </c>
      <c r="T98" s="172">
        <f>S98/$H98</f>
        <v>0.96351389333333337</v>
      </c>
      <c r="U98" s="172">
        <f>T98-Y98</f>
        <v>0</v>
      </c>
      <c r="V98" s="172">
        <f>IFERROR(((S98-X98)/X98),0)</f>
        <v>0</v>
      </c>
      <c r="W98" s="171">
        <f>Pasākumu_līmenis!U66</f>
        <v>1</v>
      </c>
      <c r="X98" s="171">
        <v>2890541.68</v>
      </c>
      <c r="Y98" s="172">
        <v>0.96351389333333337</v>
      </c>
      <c r="Z98" s="171">
        <f>Pasākumu_līmenis!X66</f>
        <v>2890541.68</v>
      </c>
      <c r="AA98" s="172">
        <f>Z98/$H98</f>
        <v>0.96351389333333337</v>
      </c>
      <c r="AB98" s="172">
        <f>AA98-AF98</f>
        <v>0</v>
      </c>
      <c r="AC98" s="172">
        <f>IFERROR(((Z98-AE98)/AE98),0)</f>
        <v>0</v>
      </c>
      <c r="AD98" s="171">
        <f>Pasākumu_līmenis!AB66</f>
        <v>1</v>
      </c>
      <c r="AE98" s="171">
        <v>2890541.68</v>
      </c>
      <c r="AF98" s="172">
        <v>0.96351389333333337</v>
      </c>
      <c r="AG98" s="171">
        <f>Pasākumu_līmenis!AE66</f>
        <v>2890541.68</v>
      </c>
      <c r="AH98" s="172">
        <f>AG98/$H98</f>
        <v>0.96351389333333337</v>
      </c>
      <c r="AI98" s="172">
        <f>AH98-AL98</f>
        <v>0</v>
      </c>
      <c r="AJ98" s="172">
        <f>IFERROR(((AG98-AK98)/AK98),0)</f>
        <v>0</v>
      </c>
      <c r="AK98" s="171">
        <v>2890541.68</v>
      </c>
      <c r="AL98" s="172">
        <v>0.96351389333333337</v>
      </c>
    </row>
    <row r="99" spans="1:38" ht="35.25" customHeight="1" x14ac:dyDescent="0.3">
      <c r="A99" s="257" t="s">
        <v>1368</v>
      </c>
      <c r="B99" s="256" t="str">
        <f>VLOOKUP(A99,saīsinājumi_LV_ENG!A:G,5,FALSE)</f>
        <v xml:space="preserve">Apsaimniekošanas pasākumi Natura 2000 teritorijās </v>
      </c>
      <c r="C99" s="12"/>
      <c r="D99" s="40"/>
      <c r="E99" s="35" t="str">
        <f>Pasākumu_līmenis!D67</f>
        <v>KF</v>
      </c>
      <c r="F99" s="40" t="str">
        <f>Pasākumu_līmenis!E67</f>
        <v>VARAM</v>
      </c>
      <c r="G99" s="279"/>
      <c r="H99" s="171">
        <f>Pasākumu_līmenis!F67</f>
        <v>3305108</v>
      </c>
      <c r="I99" s="171">
        <f>Pasākumu_līmenis!G67</f>
        <v>0</v>
      </c>
      <c r="J99" s="171">
        <f>Pasākumu_līmenis!H67</f>
        <v>3305108</v>
      </c>
      <c r="K99" s="171">
        <f>Pasākumu_līmenis!I67</f>
        <v>1</v>
      </c>
      <c r="L99" s="171">
        <f>Pasākumu_līmenis!J67</f>
        <v>2906861.26</v>
      </c>
      <c r="M99" s="172">
        <f>L99/$H99</f>
        <v>0.87950568029849552</v>
      </c>
      <c r="N99" s="172">
        <f>M99-R99</f>
        <v>0</v>
      </c>
      <c r="O99" s="172">
        <f>IFERROR(((L99-Q99)/Q99),0)</f>
        <v>0</v>
      </c>
      <c r="P99" s="171">
        <f>Pasākumu_līmenis!N67</f>
        <v>6</v>
      </c>
      <c r="Q99" s="171">
        <v>2906861.26</v>
      </c>
      <c r="R99" s="172">
        <v>0.87950568029849552</v>
      </c>
      <c r="S99" s="171">
        <f>Pasākumu_līmenis!Q67</f>
        <v>2906861.26</v>
      </c>
      <c r="T99" s="172">
        <f>S99/$H99</f>
        <v>0.87950568029849552</v>
      </c>
      <c r="U99" s="172">
        <f>T99-Y99</f>
        <v>0</v>
      </c>
      <c r="V99" s="172">
        <f>IFERROR(((S99-X99)/X99),0)</f>
        <v>0</v>
      </c>
      <c r="W99" s="171">
        <f>Pasākumu_līmenis!U67</f>
        <v>6</v>
      </c>
      <c r="X99" s="171">
        <v>2906861.26</v>
      </c>
      <c r="Y99" s="172">
        <v>0.87950568029849552</v>
      </c>
      <c r="Z99" s="171">
        <f>Pasākumu_līmenis!X67</f>
        <v>2906861.26</v>
      </c>
      <c r="AA99" s="172">
        <f>Z99/$H99</f>
        <v>0.87950568029849552</v>
      </c>
      <c r="AB99" s="172">
        <f>AA99-AF99</f>
        <v>0</v>
      </c>
      <c r="AC99" s="172">
        <f>IFERROR(((Z99-AE99)/AE99),0)</f>
        <v>0</v>
      </c>
      <c r="AD99" s="171">
        <f>Pasākumu_līmenis!AB67</f>
        <v>6</v>
      </c>
      <c r="AE99" s="171">
        <v>2906861.26</v>
      </c>
      <c r="AF99" s="172">
        <v>0.87950568029849552</v>
      </c>
      <c r="AG99" s="171">
        <f>Pasākumu_līmenis!AE67</f>
        <v>2906861.26</v>
      </c>
      <c r="AH99" s="172">
        <f>AG99/$H99</f>
        <v>0.87950568029849552</v>
      </c>
      <c r="AI99" s="172">
        <f>AH99-AL99</f>
        <v>0</v>
      </c>
      <c r="AJ99" s="172">
        <f>IFERROR(((AG99-AK99)/AK99),0)</f>
        <v>0</v>
      </c>
      <c r="AK99" s="171">
        <v>2906861.26</v>
      </c>
      <c r="AL99" s="172">
        <v>0.87950568029849552</v>
      </c>
    </row>
    <row r="100" spans="1:38" ht="21" customHeight="1" x14ac:dyDescent="0.3">
      <c r="A100" s="251" t="s">
        <v>56</v>
      </c>
      <c r="B100" s="252" t="str">
        <f>VLOOKUP(A100,saīsinājumi_LV_ENG!A:G,5,FALSE)</f>
        <v>Dabas un kultūras mantojums</v>
      </c>
      <c r="C100" s="217" t="s">
        <v>67</v>
      </c>
      <c r="D100" s="218" t="str">
        <f ca="1">IFERROR(IF((VLOOKUP(A100,Pasākumu_līmenis!A:H,3,0))=0,"",VLOOKUP(A100,Pasākumu_līmenis!A:H,3,0)),"")</f>
        <v/>
      </c>
      <c r="E100" s="236"/>
      <c r="F100" s="219"/>
      <c r="G100" s="277"/>
      <c r="H100" s="220">
        <f>H101</f>
        <v>67507333</v>
      </c>
      <c r="I100" s="220">
        <f>I101</f>
        <v>0</v>
      </c>
      <c r="J100" s="220">
        <f>J101</f>
        <v>67507333</v>
      </c>
      <c r="K100" s="220">
        <f>K101</f>
        <v>0</v>
      </c>
      <c r="L100" s="220">
        <f>L101</f>
        <v>65821749.299999997</v>
      </c>
      <c r="M100" s="221">
        <f t="shared" si="65"/>
        <v>0.97503110217670719</v>
      </c>
      <c r="N100" s="221">
        <f t="shared" si="61"/>
        <v>0</v>
      </c>
      <c r="O100" s="221">
        <f t="shared" si="66"/>
        <v>0</v>
      </c>
      <c r="P100" s="220">
        <f>P101</f>
        <v>23</v>
      </c>
      <c r="Q100" s="220">
        <v>65821749.299999997</v>
      </c>
      <c r="R100" s="221">
        <v>0.97503110217670719</v>
      </c>
      <c r="S100" s="220">
        <f>S101</f>
        <v>65821749.299999997</v>
      </c>
      <c r="T100" s="221">
        <f t="shared" si="67"/>
        <v>0.97503110217670719</v>
      </c>
      <c r="U100" s="221">
        <f t="shared" si="62"/>
        <v>0</v>
      </c>
      <c r="V100" s="221">
        <f t="shared" si="68"/>
        <v>0</v>
      </c>
      <c r="W100" s="220">
        <f>W101</f>
        <v>23</v>
      </c>
      <c r="X100" s="220">
        <v>65821749.299999997</v>
      </c>
      <c r="Y100" s="221">
        <v>0.97503110217670719</v>
      </c>
      <c r="Z100" s="220">
        <f>Z101</f>
        <v>65821749.299999997</v>
      </c>
      <c r="AA100" s="221">
        <f t="shared" si="69"/>
        <v>0.97503110217670719</v>
      </c>
      <c r="AB100" s="221">
        <f t="shared" si="63"/>
        <v>0</v>
      </c>
      <c r="AC100" s="221">
        <f t="shared" si="59"/>
        <v>0</v>
      </c>
      <c r="AD100" s="220">
        <f>AD101</f>
        <v>23</v>
      </c>
      <c r="AE100" s="220">
        <v>65821749.299999997</v>
      </c>
      <c r="AF100" s="221">
        <v>0.97503110217670719</v>
      </c>
      <c r="AG100" s="220">
        <f>AG101</f>
        <v>64027229.880000003</v>
      </c>
      <c r="AH100" s="221">
        <f t="shared" si="70"/>
        <v>0.94844851714109346</v>
      </c>
      <c r="AI100" s="221">
        <f t="shared" si="64"/>
        <v>0</v>
      </c>
      <c r="AJ100" s="221">
        <f>IFERROR(((AG100-AK100)/AK100),0)</f>
        <v>0</v>
      </c>
      <c r="AK100" s="220">
        <v>64027229.880000003</v>
      </c>
      <c r="AL100" s="221">
        <v>0.94844851714109346</v>
      </c>
    </row>
    <row r="101" spans="1:38" ht="21" customHeight="1" x14ac:dyDescent="0.3">
      <c r="A101" s="257" t="s">
        <v>281</v>
      </c>
      <c r="B101" s="256" t="str">
        <f>VLOOKUP(A101,saīsinājumi_LV_ENG!A:G,5,FALSE)</f>
        <v>Kultūras un dabas mantojums</v>
      </c>
      <c r="C101" s="12" t="s">
        <v>68</v>
      </c>
      <c r="D101" s="44"/>
      <c r="E101" s="35" t="str">
        <f>Pasākumu_līmenis!D68</f>
        <v>ERAF</v>
      </c>
      <c r="F101" s="40" t="str">
        <f>Pasākumu_līmenis!E68</f>
        <v>KM</v>
      </c>
      <c r="G101" s="279" t="str">
        <f>VLOOKUP(A101,'2. Intervences kategorijas - Pa'!B:D,2,FALSE)</f>
        <v>06 - Saglabāt un aizsargāt vidi un uzlabot resursu izmantošanas efektivitāti</v>
      </c>
      <c r="H101" s="171">
        <f>Pasākumu_līmenis!F68</f>
        <v>67507333</v>
      </c>
      <c r="I101" s="171">
        <f>Pasākumu_līmenis!G68</f>
        <v>0</v>
      </c>
      <c r="J101" s="171">
        <f>Pasākumu_līmenis!H68</f>
        <v>67507333</v>
      </c>
      <c r="K101" s="171">
        <f>Pasākumu_līmenis!I68</f>
        <v>0</v>
      </c>
      <c r="L101" s="171">
        <f>Pasākumu_līmenis!J68</f>
        <v>65821749.299999997</v>
      </c>
      <c r="M101" s="172">
        <f t="shared" si="65"/>
        <v>0.97503110217670719</v>
      </c>
      <c r="N101" s="172">
        <f t="shared" si="61"/>
        <v>0</v>
      </c>
      <c r="O101" s="172">
        <f t="shared" si="66"/>
        <v>0</v>
      </c>
      <c r="P101" s="171">
        <f>Pasākumu_līmenis!N68</f>
        <v>23</v>
      </c>
      <c r="Q101" s="171">
        <v>65821749.299999997</v>
      </c>
      <c r="R101" s="172">
        <v>0.97503110217670719</v>
      </c>
      <c r="S101" s="171">
        <f>Pasākumu_līmenis!Q68</f>
        <v>65821749.299999997</v>
      </c>
      <c r="T101" s="172">
        <f t="shared" si="67"/>
        <v>0.97503110217670719</v>
      </c>
      <c r="U101" s="172">
        <f t="shared" si="62"/>
        <v>0</v>
      </c>
      <c r="V101" s="172">
        <f t="shared" si="68"/>
        <v>0</v>
      </c>
      <c r="W101" s="171">
        <f>Pasākumu_līmenis!U68</f>
        <v>23</v>
      </c>
      <c r="X101" s="171">
        <v>65821749.299999997</v>
      </c>
      <c r="Y101" s="172">
        <v>0.97503110217670719</v>
      </c>
      <c r="Z101" s="171">
        <f>Pasākumu_līmenis!X68</f>
        <v>65821749.299999997</v>
      </c>
      <c r="AA101" s="172">
        <f t="shared" si="69"/>
        <v>0.97503110217670719</v>
      </c>
      <c r="AB101" s="172">
        <f t="shared" si="63"/>
        <v>0</v>
      </c>
      <c r="AC101" s="172">
        <f t="shared" si="59"/>
        <v>0</v>
      </c>
      <c r="AD101" s="171">
        <f>Pasākumu_līmenis!AB68</f>
        <v>23</v>
      </c>
      <c r="AE101" s="171">
        <v>65821749.299999997</v>
      </c>
      <c r="AF101" s="172">
        <v>0.97503110217670719</v>
      </c>
      <c r="AG101" s="171">
        <f>Pasākumu_līmenis!AE68</f>
        <v>64027229.880000003</v>
      </c>
      <c r="AH101" s="172">
        <f t="shared" si="70"/>
        <v>0.94844851714109346</v>
      </c>
      <c r="AI101" s="172">
        <f t="shared" si="64"/>
        <v>0</v>
      </c>
      <c r="AJ101" s="172">
        <f t="shared" si="60"/>
        <v>0</v>
      </c>
      <c r="AK101" s="171">
        <v>64027229.880000003</v>
      </c>
      <c r="AL101" s="172">
        <v>0.94844851714109346</v>
      </c>
    </row>
    <row r="102" spans="1:38" ht="21" customHeight="1" x14ac:dyDescent="0.3">
      <c r="A102" s="251" t="s">
        <v>57</v>
      </c>
      <c r="B102" s="252" t="str">
        <f>VLOOKUP(A102,saīsinājumi_LV_ENG!A:G,5,FALSE)</f>
        <v>Pilsētvides uzlabošana</v>
      </c>
      <c r="C102" s="217" t="s">
        <v>69</v>
      </c>
      <c r="D102" s="218" t="str">
        <f ca="1">IFERROR(IF((VLOOKUP(A102,Pasākumu_līmenis!A:H,3,0))=0,"",VLOOKUP(A102,Pasākumu_līmenis!A:H,3,0)),"")</f>
        <v/>
      </c>
      <c r="E102" s="236"/>
      <c r="F102" s="219"/>
      <c r="G102" s="277"/>
      <c r="H102" s="220">
        <f>H103+H104+H105</f>
        <v>319946416</v>
      </c>
      <c r="I102" s="220">
        <f>I103+I104+I105</f>
        <v>0</v>
      </c>
      <c r="J102" s="220">
        <f>J103+J104+J105</f>
        <v>319946416</v>
      </c>
      <c r="K102" s="220">
        <f>K103+K104+K105</f>
        <v>14426861</v>
      </c>
      <c r="L102" s="220">
        <f>L103+L104+L105</f>
        <v>289083259.31999999</v>
      </c>
      <c r="M102" s="221">
        <f t="shared" si="65"/>
        <v>0.90353648255900443</v>
      </c>
      <c r="N102" s="221">
        <f t="shared" si="61"/>
        <v>0</v>
      </c>
      <c r="O102" s="221">
        <f t="shared" si="66"/>
        <v>0</v>
      </c>
      <c r="P102" s="220">
        <f>P103+P104+P105</f>
        <v>119</v>
      </c>
      <c r="Q102" s="220">
        <v>289083259.31999999</v>
      </c>
      <c r="R102" s="221">
        <v>0.90353648255900443</v>
      </c>
      <c r="S102" s="220">
        <f>S103+S104+S105</f>
        <v>289083259.31999999</v>
      </c>
      <c r="T102" s="221">
        <f>S102/$H102</f>
        <v>0.90353648255900443</v>
      </c>
      <c r="U102" s="221">
        <f>T102-Y102</f>
        <v>0</v>
      </c>
      <c r="V102" s="221">
        <f>IFERROR(((S102-X102)/X102),0)</f>
        <v>0</v>
      </c>
      <c r="W102" s="220">
        <f>W103+W104+W105</f>
        <v>119</v>
      </c>
      <c r="X102" s="220">
        <v>289083259.31999999</v>
      </c>
      <c r="Y102" s="221">
        <v>0.90353648255900443</v>
      </c>
      <c r="Z102" s="220">
        <f>Z103+Z104+Z105</f>
        <v>289083259.31999999</v>
      </c>
      <c r="AA102" s="221">
        <f t="shared" si="69"/>
        <v>0.90353648255900443</v>
      </c>
      <c r="AB102" s="221">
        <f t="shared" si="63"/>
        <v>0</v>
      </c>
      <c r="AC102" s="221">
        <f t="shared" si="59"/>
        <v>0</v>
      </c>
      <c r="AD102" s="220">
        <f>AD103+AD104+AD105</f>
        <v>119</v>
      </c>
      <c r="AE102" s="220">
        <v>289083259.31999999</v>
      </c>
      <c r="AF102" s="221">
        <v>0.90353648255900443</v>
      </c>
      <c r="AG102" s="220">
        <f>AG103+AG104+AG105</f>
        <v>287146834.56999999</v>
      </c>
      <c r="AH102" s="221">
        <f t="shared" si="70"/>
        <v>0.89748414175078617</v>
      </c>
      <c r="AI102" s="221">
        <f t="shared" si="64"/>
        <v>-2.6036481683866519E-4</v>
      </c>
      <c r="AJ102" s="221">
        <f t="shared" si="60"/>
        <v>-2.9002106382595175E-4</v>
      </c>
      <c r="AK102" s="220">
        <v>287230137.36000001</v>
      </c>
      <c r="AL102" s="221">
        <v>0.89774450656762483</v>
      </c>
    </row>
    <row r="103" spans="1:38" ht="21" customHeight="1" x14ac:dyDescent="0.3">
      <c r="A103" s="257" t="s">
        <v>282</v>
      </c>
      <c r="B103" s="256" t="str">
        <f>VLOOKUP(A103,saīsinājumi_LV_ENG!A:G,5,FALSE)</f>
        <v>Rīgas revitalizācija</v>
      </c>
      <c r="C103" s="12" t="s">
        <v>609</v>
      </c>
      <c r="D103" s="44"/>
      <c r="E103" s="35" t="str">
        <f>Pasākumu_līmenis!D69</f>
        <v>ERAF</v>
      </c>
      <c r="F103" s="40" t="str">
        <f>Pasākumu_līmenis!E69</f>
        <v>KM</v>
      </c>
      <c r="G103" s="279" t="str">
        <f>VLOOKUP(A103,'2. Intervences kategorijas - Pa'!B:D,2,FALSE)</f>
        <v>06 - Saglabāt un aizsargāt vidi un uzlabot resursu izmantošanas efektivitāti</v>
      </c>
      <c r="H103" s="171">
        <f>Pasākumu_līmenis!F69</f>
        <v>58552956</v>
      </c>
      <c r="I103" s="171">
        <f>Pasākumu_līmenis!G69</f>
        <v>0</v>
      </c>
      <c r="J103" s="171">
        <f>Pasākumu_līmenis!H69</f>
        <v>58552956</v>
      </c>
      <c r="K103" s="171">
        <f>Pasākumu_līmenis!I69</f>
        <v>0</v>
      </c>
      <c r="L103" s="171">
        <f>Pasākumu_līmenis!J69</f>
        <v>54726810.719999999</v>
      </c>
      <c r="M103" s="172">
        <f t="shared" si="65"/>
        <v>0.93465495952074562</v>
      </c>
      <c r="N103" s="172">
        <f t="shared" si="61"/>
        <v>0</v>
      </c>
      <c r="O103" s="172">
        <f t="shared" si="66"/>
        <v>0</v>
      </c>
      <c r="P103" s="171">
        <f>Pasākumu_līmenis!N69</f>
        <v>5</v>
      </c>
      <c r="Q103" s="171">
        <v>54726810.719999999</v>
      </c>
      <c r="R103" s="172">
        <v>0.93465495952074562</v>
      </c>
      <c r="S103" s="171">
        <f>Pasākumu_līmenis!Q69</f>
        <v>54726810.719999999</v>
      </c>
      <c r="T103" s="172">
        <f t="shared" si="67"/>
        <v>0.93465495952074562</v>
      </c>
      <c r="U103" s="172">
        <f t="shared" si="62"/>
        <v>0</v>
      </c>
      <c r="V103" s="172">
        <f t="shared" si="68"/>
        <v>0</v>
      </c>
      <c r="W103" s="171">
        <f>Pasākumu_līmenis!U69</f>
        <v>5</v>
      </c>
      <c r="X103" s="171">
        <v>54726810.719999999</v>
      </c>
      <c r="Y103" s="172">
        <v>0.93465495952074562</v>
      </c>
      <c r="Z103" s="171">
        <f>Pasākumu_līmenis!X69</f>
        <v>54726810.719999999</v>
      </c>
      <c r="AA103" s="172">
        <f t="shared" si="69"/>
        <v>0.93465495952074562</v>
      </c>
      <c r="AB103" s="172">
        <f t="shared" si="63"/>
        <v>0</v>
      </c>
      <c r="AC103" s="172">
        <f t="shared" si="59"/>
        <v>0</v>
      </c>
      <c r="AD103" s="171">
        <f>Pasākumu_līmenis!AB69</f>
        <v>5</v>
      </c>
      <c r="AE103" s="171">
        <v>54726810.719999999</v>
      </c>
      <c r="AF103" s="172">
        <v>0.93465495952074562</v>
      </c>
      <c r="AG103" s="171">
        <f>Pasākumu_līmenis!AE69</f>
        <v>53219294.700000003</v>
      </c>
      <c r="AH103" s="172">
        <f t="shared" si="70"/>
        <v>0.90890876115631125</v>
      </c>
      <c r="AI103" s="172">
        <f t="shared" si="64"/>
        <v>0</v>
      </c>
      <c r="AJ103" s="172">
        <f t="shared" si="60"/>
        <v>0</v>
      </c>
      <c r="AK103" s="171">
        <v>53219294.700000003</v>
      </c>
      <c r="AL103" s="172">
        <v>0.90890876115631125</v>
      </c>
    </row>
    <row r="104" spans="1:38" ht="21" customHeight="1" x14ac:dyDescent="0.3">
      <c r="A104" s="257" t="s">
        <v>283</v>
      </c>
      <c r="B104" s="256" t="str">
        <f>VLOOKUP(A104,saīsinājumi_LV_ENG!A:G,5,FALSE)</f>
        <v>Degradēto teritoriju atjaunošana</v>
      </c>
      <c r="C104" s="12" t="s">
        <v>70</v>
      </c>
      <c r="D104" s="44"/>
      <c r="E104" s="35" t="str">
        <f>Pasākumu_līmenis!D70</f>
        <v>ERAF</v>
      </c>
      <c r="F104" s="40" t="str">
        <f>Pasākumu_līmenis!E71</f>
        <v>VARAM</v>
      </c>
      <c r="G104" s="279" t="str">
        <f>VLOOKUP(A104,'2. Intervences kategorijas - Pa'!B:D,2,FALSE)</f>
        <v>06 - Saglabāt un aizsargāt vidi un uzlabot resursu izmantošanas efektivitāti</v>
      </c>
      <c r="H104" s="171">
        <f>Pasākumu_līmenis!F70</f>
        <v>236524372</v>
      </c>
      <c r="I104" s="171">
        <f>Pasākumu_līmenis!G70</f>
        <v>0</v>
      </c>
      <c r="J104" s="171">
        <f>Pasākumu_līmenis!H70</f>
        <v>236524372</v>
      </c>
      <c r="K104" s="171">
        <f>Pasākumu_līmenis!I70</f>
        <v>14426861</v>
      </c>
      <c r="L104" s="171">
        <f>Pasākumu_līmenis!J70</f>
        <v>209733570.53</v>
      </c>
      <c r="M104" s="172">
        <f t="shared" si="65"/>
        <v>0.88673132817788436</v>
      </c>
      <c r="N104" s="172">
        <f t="shared" si="61"/>
        <v>0</v>
      </c>
      <c r="O104" s="172">
        <f t="shared" si="66"/>
        <v>0</v>
      </c>
      <c r="P104" s="171">
        <f>Pasākumu_līmenis!N70</f>
        <v>113</v>
      </c>
      <c r="Q104" s="171">
        <v>209733570.53</v>
      </c>
      <c r="R104" s="172">
        <v>0.88673132817788436</v>
      </c>
      <c r="S104" s="171">
        <f>Pasākumu_līmenis!Q70</f>
        <v>209733570.53</v>
      </c>
      <c r="T104" s="172">
        <f t="shared" si="67"/>
        <v>0.88673132817788436</v>
      </c>
      <c r="U104" s="172">
        <f t="shared" si="62"/>
        <v>0</v>
      </c>
      <c r="V104" s="172">
        <f t="shared" si="68"/>
        <v>0</v>
      </c>
      <c r="W104" s="171">
        <f>Pasākumu_līmenis!U70</f>
        <v>113</v>
      </c>
      <c r="X104" s="171">
        <v>209733570.53</v>
      </c>
      <c r="Y104" s="172">
        <v>0.88673132817788436</v>
      </c>
      <c r="Z104" s="171">
        <f>Pasākumu_līmenis!X70</f>
        <v>209733570.53</v>
      </c>
      <c r="AA104" s="172">
        <f t="shared" si="69"/>
        <v>0.88673132817788436</v>
      </c>
      <c r="AB104" s="172">
        <f t="shared" si="63"/>
        <v>0</v>
      </c>
      <c r="AC104" s="172">
        <f t="shared" si="59"/>
        <v>0</v>
      </c>
      <c r="AD104" s="171">
        <f>Pasākumu_līmenis!AB70</f>
        <v>113</v>
      </c>
      <c r="AE104" s="171">
        <v>209733570.53</v>
      </c>
      <c r="AF104" s="172">
        <v>0.88673132817788436</v>
      </c>
      <c r="AG104" s="171">
        <f>Pasākumu_līmenis!AE70</f>
        <v>209304661.79999998</v>
      </c>
      <c r="AH104" s="172">
        <f t="shared" si="70"/>
        <v>0.88491794748323016</v>
      </c>
      <c r="AI104" s="172">
        <f t="shared" si="64"/>
        <v>-3.5219537545161383E-4</v>
      </c>
      <c r="AJ104" s="172">
        <f t="shared" si="60"/>
        <v>-3.9783943725292726E-4</v>
      </c>
      <c r="AK104" s="171">
        <v>209387964.59</v>
      </c>
      <c r="AL104" s="172">
        <v>0.88527014285868177</v>
      </c>
    </row>
    <row r="105" spans="1:38" ht="21" customHeight="1" x14ac:dyDescent="0.3">
      <c r="A105" s="257" t="s">
        <v>462</v>
      </c>
      <c r="B105" s="256" t="str">
        <f>VLOOKUP(A105,saīsinājumi_LV_ENG!A:G,5,FALSE)</f>
        <v>Piesārņoto vietu sanācija</v>
      </c>
      <c r="C105" s="12" t="s">
        <v>537</v>
      </c>
      <c r="D105" s="44"/>
      <c r="E105" s="35" t="str">
        <f>Pasākumu_līmenis!D71</f>
        <v>ERAF</v>
      </c>
      <c r="F105" s="40" t="s">
        <v>350</v>
      </c>
      <c r="G105" s="279" t="str">
        <f>VLOOKUP(A105,'2. Intervences kategorijas - Pa'!B:D,2,FALSE)</f>
        <v>06 - Saglabāt un aizsargāt vidi un uzlabot resursu izmantošanas efektivitāti</v>
      </c>
      <c r="H105" s="171">
        <f>Pasākumu_līmenis!F71</f>
        <v>24869088</v>
      </c>
      <c r="I105" s="171">
        <f>Pasākumu_līmenis!G71</f>
        <v>0</v>
      </c>
      <c r="J105" s="171">
        <f>Pasākumu_līmenis!H71</f>
        <v>24869088</v>
      </c>
      <c r="K105" s="171">
        <f>Pasākumu_līmenis!I71</f>
        <v>0</v>
      </c>
      <c r="L105" s="171">
        <f>Pasākumu_līmenis!J71</f>
        <v>24622878.07</v>
      </c>
      <c r="M105" s="172">
        <f t="shared" ref="M105" si="72">L105/$H105</f>
        <v>0.99009976039330438</v>
      </c>
      <c r="N105" s="172">
        <f t="shared" ref="N105" si="73">M105-R105</f>
        <v>0</v>
      </c>
      <c r="O105" s="172">
        <f t="shared" ref="O105" si="74">IFERROR(((L105-Q105)/Q105),0)</f>
        <v>0</v>
      </c>
      <c r="P105" s="171">
        <f>Pasākumu_līmenis!N71</f>
        <v>1</v>
      </c>
      <c r="Q105" s="171">
        <v>24622878.07</v>
      </c>
      <c r="R105" s="172">
        <v>0.99009976039330438</v>
      </c>
      <c r="S105" s="171">
        <f>Pasākumu_līmenis!Q71</f>
        <v>24622878.07</v>
      </c>
      <c r="T105" s="172">
        <f t="shared" ref="T105" si="75">S105/$H105</f>
        <v>0.99009976039330438</v>
      </c>
      <c r="U105" s="172">
        <f t="shared" ref="U105" si="76">T105-Y105</f>
        <v>0</v>
      </c>
      <c r="V105" s="172">
        <f t="shared" ref="V105" si="77">IFERROR(((S105-X105)/X105),0)</f>
        <v>0</v>
      </c>
      <c r="W105" s="171">
        <f>Pasākumu_līmenis!U71</f>
        <v>1</v>
      </c>
      <c r="X105" s="171">
        <v>24622878.07</v>
      </c>
      <c r="Y105" s="172">
        <v>0.99009976039330438</v>
      </c>
      <c r="Z105" s="171">
        <f>Pasākumu_līmenis!X71</f>
        <v>24622878.07</v>
      </c>
      <c r="AA105" s="172">
        <f t="shared" ref="AA105" si="78">Z105/$H105</f>
        <v>0.99009976039330438</v>
      </c>
      <c r="AB105" s="172">
        <f t="shared" ref="AB105" si="79">AA105-AF105</f>
        <v>0</v>
      </c>
      <c r="AC105" s="172">
        <f t="shared" ref="AC105" si="80">IFERROR(((Z105-AE105)/AE105),0)</f>
        <v>0</v>
      </c>
      <c r="AD105" s="171">
        <f>Pasākumu_līmenis!AB71</f>
        <v>1</v>
      </c>
      <c r="AE105" s="171">
        <v>24622878.07</v>
      </c>
      <c r="AF105" s="172">
        <v>0.99009976039330438</v>
      </c>
      <c r="AG105" s="171">
        <f>Pasākumu_līmenis!AE71</f>
        <v>24622878.07</v>
      </c>
      <c r="AH105" s="172">
        <f t="shared" ref="AH105" si="81">AG105/$H105</f>
        <v>0.99009976039330438</v>
      </c>
      <c r="AI105" s="172">
        <f t="shared" ref="AI105" si="82">AH105-AL105</f>
        <v>0</v>
      </c>
      <c r="AJ105" s="172">
        <f t="shared" ref="AJ105" si="83">IFERROR(((AG105-AK105)/AK105),0)</f>
        <v>0</v>
      </c>
      <c r="AK105" s="171">
        <v>24622878.07</v>
      </c>
      <c r="AL105" s="172">
        <v>0.99009976039330438</v>
      </c>
    </row>
    <row r="106" spans="1:38" ht="21" customHeight="1" x14ac:dyDescent="0.3">
      <c r="A106" s="249" t="s">
        <v>71</v>
      </c>
      <c r="B106" s="261" t="str">
        <f>VLOOKUP(A106,saīsinājumi_LV_ENG!A:G,5,FALSE)</f>
        <v>Transports</v>
      </c>
      <c r="C106" s="9" t="s">
        <v>75</v>
      </c>
      <c r="D106" s="28"/>
      <c r="E106" s="28"/>
      <c r="F106" s="28"/>
      <c r="G106" s="280"/>
      <c r="H106" s="187">
        <f>H107+H120+H124</f>
        <v>886835593</v>
      </c>
      <c r="I106" s="187">
        <f>I107+I120+I124</f>
        <v>0</v>
      </c>
      <c r="J106" s="187">
        <f>J107+J120+J124</f>
        <v>886835593</v>
      </c>
      <c r="K106" s="187">
        <f>K107+K120+K124</f>
        <v>69622402.513883501</v>
      </c>
      <c r="L106" s="187">
        <f>L107+L120+L124</f>
        <v>801894815.95999992</v>
      </c>
      <c r="M106" s="188">
        <f t="shared" si="65"/>
        <v>0.90422037894006801</v>
      </c>
      <c r="N106" s="188">
        <f t="shared" si="61"/>
        <v>0</v>
      </c>
      <c r="O106" s="188">
        <f t="shared" si="66"/>
        <v>0</v>
      </c>
      <c r="P106" s="187">
        <f>P107+P120+P124</f>
        <v>89</v>
      </c>
      <c r="Q106" s="175">
        <v>801894815.95999992</v>
      </c>
      <c r="R106" s="176">
        <v>0.90422037894006801</v>
      </c>
      <c r="S106" s="187">
        <f>S107+S120+S124</f>
        <v>801894815.95999992</v>
      </c>
      <c r="T106" s="188">
        <f t="shared" si="67"/>
        <v>0.90422037894006801</v>
      </c>
      <c r="U106" s="188">
        <f t="shared" si="62"/>
        <v>0</v>
      </c>
      <c r="V106" s="188">
        <f t="shared" si="68"/>
        <v>0</v>
      </c>
      <c r="W106" s="187">
        <f>W107+W120+W124</f>
        <v>89</v>
      </c>
      <c r="X106" s="187">
        <v>801894815.95999992</v>
      </c>
      <c r="Y106" s="188">
        <v>0.90422037894006801</v>
      </c>
      <c r="Z106" s="187">
        <f>Z107+Z120+Z124</f>
        <v>801894815.95999992</v>
      </c>
      <c r="AA106" s="188">
        <f t="shared" si="69"/>
        <v>0.90422037894006801</v>
      </c>
      <c r="AB106" s="188">
        <f t="shared" si="63"/>
        <v>0</v>
      </c>
      <c r="AC106" s="188">
        <f t="shared" si="59"/>
        <v>0</v>
      </c>
      <c r="AD106" s="187">
        <f>AD107+AD120+AD124</f>
        <v>89</v>
      </c>
      <c r="AE106" s="175">
        <v>801894815.95999992</v>
      </c>
      <c r="AF106" s="176">
        <v>0.90422037894006801</v>
      </c>
      <c r="AG106" s="187">
        <f>AG107+AG120+AG124</f>
        <v>802575771.75999999</v>
      </c>
      <c r="AH106" s="188">
        <f t="shared" si="70"/>
        <v>0.90498822791385192</v>
      </c>
      <c r="AI106" s="188">
        <f t="shared" si="64"/>
        <v>-2.2534357165782115E-4</v>
      </c>
      <c r="AJ106" s="188">
        <f t="shared" si="60"/>
        <v>-2.4893967430034098E-4</v>
      </c>
      <c r="AK106" s="187">
        <v>802775614.45999992</v>
      </c>
      <c r="AL106" s="188">
        <v>0.90521357148550974</v>
      </c>
    </row>
    <row r="107" spans="1:38" ht="21" customHeight="1" x14ac:dyDescent="0.3">
      <c r="A107" s="251" t="s">
        <v>72</v>
      </c>
      <c r="B107" s="252" t="str">
        <f>VLOOKUP(A107,saīsinājumi_LV_ENG!A:G,5,FALSE)</f>
        <v>Investīcijas TEN-T tīklā</v>
      </c>
      <c r="C107" s="217" t="s">
        <v>76</v>
      </c>
      <c r="D107" s="217" t="str">
        <f ca="1">IFERROR(IF((VLOOKUP(A107,Pasākumu_līmenis!A:H,3,0))=0,"",VLOOKUP(A107,Pasākumu_līmenis!A:H,3,0)),"")</f>
        <v/>
      </c>
      <c r="E107" s="219"/>
      <c r="F107" s="219"/>
      <c r="G107" s="277"/>
      <c r="H107" s="220">
        <f>H108+H109+H110+H113+H116+H117+H118+H119</f>
        <v>528270272</v>
      </c>
      <c r="I107" s="220">
        <f>I108+I109+I110+I113+I116+I117+I118+I119</f>
        <v>0</v>
      </c>
      <c r="J107" s="220">
        <f>J108+J109+J110+J113+J116+J117+J118+J119</f>
        <v>528270272</v>
      </c>
      <c r="K107" s="220">
        <f>K108+K109+K110+K113+K116</f>
        <v>27176405.513883501</v>
      </c>
      <c r="L107" s="220">
        <f>L108+L109+L110+L113+L116+L117+L118+L119</f>
        <v>510380676.93999994</v>
      </c>
      <c r="M107" s="221">
        <f>L107/$H107</f>
        <v>0.96613552568030925</v>
      </c>
      <c r="N107" s="221">
        <f t="shared" si="61"/>
        <v>0</v>
      </c>
      <c r="O107" s="221">
        <f>IFERROR(((L107-Q107)/Q107),0)</f>
        <v>0</v>
      </c>
      <c r="P107" s="220">
        <f>P108+P109+P110+P113+P116+P117+P118+P119</f>
        <v>49</v>
      </c>
      <c r="Q107" s="220">
        <v>510380676.93999994</v>
      </c>
      <c r="R107" s="221">
        <v>0.96613552568030925</v>
      </c>
      <c r="S107" s="220">
        <f>S108+S109+S110+S113+S116+S117+S118+S119</f>
        <v>510380676.93999994</v>
      </c>
      <c r="T107" s="221">
        <f t="shared" si="67"/>
        <v>0.96613552568030925</v>
      </c>
      <c r="U107" s="221">
        <f t="shared" si="62"/>
        <v>0</v>
      </c>
      <c r="V107" s="221">
        <f t="shared" si="68"/>
        <v>0</v>
      </c>
      <c r="W107" s="220">
        <f>W108+W109+W110+W113+W116+W117+W118+W119</f>
        <v>49</v>
      </c>
      <c r="X107" s="220">
        <v>510380676.93999994</v>
      </c>
      <c r="Y107" s="221">
        <v>0.96613552568030925</v>
      </c>
      <c r="Z107" s="220">
        <f>Z108+Z109+Z110+Z113+Z116+Z117+Z118+Z119</f>
        <v>510380676.93999994</v>
      </c>
      <c r="AA107" s="221">
        <f t="shared" si="69"/>
        <v>0.96613552568030925</v>
      </c>
      <c r="AB107" s="221">
        <f t="shared" si="63"/>
        <v>0</v>
      </c>
      <c r="AC107" s="221">
        <f t="shared" si="59"/>
        <v>0</v>
      </c>
      <c r="AD107" s="220">
        <f>AD108+AD109+AD110+AD113+AD116+AD117+AD118+AD119</f>
        <v>49</v>
      </c>
      <c r="AE107" s="220">
        <v>510380676.93999994</v>
      </c>
      <c r="AF107" s="221">
        <v>0.96613552568030925</v>
      </c>
      <c r="AG107" s="220">
        <f>AG108+AG109+AG110+AG113+AG116+AG117+AG118+AG119</f>
        <v>511399749.13999999</v>
      </c>
      <c r="AH107" s="221">
        <f t="shared" si="70"/>
        <v>0.96806459921333599</v>
      </c>
      <c r="AI107" s="221">
        <f t="shared" si="64"/>
        <v>-3.7829632025931925E-4</v>
      </c>
      <c r="AJ107" s="221">
        <f t="shared" si="60"/>
        <v>-3.9062325925875215E-4</v>
      </c>
      <c r="AK107" s="220">
        <v>511599591.83999997</v>
      </c>
      <c r="AL107" s="221">
        <v>0.9684428955335953</v>
      </c>
    </row>
    <row r="108" spans="1:38" ht="21" customHeight="1" x14ac:dyDescent="0.3">
      <c r="A108" s="257" t="s">
        <v>285</v>
      </c>
      <c r="B108" s="256" t="str">
        <f>VLOOKUP(A108,saīsinājumi_LV_ENG!A:G,5,FALSE)</f>
        <v>Lielo ostu attīstība</v>
      </c>
      <c r="C108" s="12" t="s">
        <v>77</v>
      </c>
      <c r="D108" s="12"/>
      <c r="E108" s="40" t="str">
        <f>Pasākumu_līmenis!D73</f>
        <v>KF</v>
      </c>
      <c r="F108" s="40" t="str">
        <f>Pasākumu_līmenis!E73</f>
        <v>SM</v>
      </c>
      <c r="G108" s="279" t="str">
        <f>VLOOKUP(A108,'2. Intervences kategorijas - Pa'!B:D,2,FALSE)</f>
        <v>07 - Veicināt ilgtspējīgu transportu un novērst trūkumus galvenajās tīkla infrastruktūrās</v>
      </c>
      <c r="H108" s="171">
        <f>Pasākumu_līmenis!F73</f>
        <v>71113776</v>
      </c>
      <c r="I108" s="171">
        <f>Pasākumu_līmenis!G73</f>
        <v>0</v>
      </c>
      <c r="J108" s="171">
        <f>Pasākumu_līmenis!H73</f>
        <v>71113776</v>
      </c>
      <c r="K108" s="171">
        <f>Pasākumu_līmenis!I73</f>
        <v>5525477.0040577296</v>
      </c>
      <c r="L108" s="171">
        <f>Pasākumu_līmenis!J73</f>
        <v>67678486.409999996</v>
      </c>
      <c r="M108" s="172">
        <f t="shared" si="65"/>
        <v>0.95169305044355956</v>
      </c>
      <c r="N108" s="172">
        <f t="shared" si="61"/>
        <v>0</v>
      </c>
      <c r="O108" s="172">
        <f t="shared" si="66"/>
        <v>0</v>
      </c>
      <c r="P108" s="171">
        <f>Pasākumu_līmenis!N73</f>
        <v>6</v>
      </c>
      <c r="Q108" s="171">
        <v>67678486.409999996</v>
      </c>
      <c r="R108" s="172">
        <v>0.95169305044355956</v>
      </c>
      <c r="S108" s="171">
        <f>Pasākumu_līmenis!Q73</f>
        <v>67678486.409999996</v>
      </c>
      <c r="T108" s="172">
        <f t="shared" si="67"/>
        <v>0.95169305044355956</v>
      </c>
      <c r="U108" s="172">
        <f t="shared" si="62"/>
        <v>0</v>
      </c>
      <c r="V108" s="172">
        <f t="shared" si="68"/>
        <v>0</v>
      </c>
      <c r="W108" s="171">
        <f>Pasākumu_līmenis!U73</f>
        <v>6</v>
      </c>
      <c r="X108" s="171">
        <v>67678486.409999996</v>
      </c>
      <c r="Y108" s="172">
        <v>0.95169305044355956</v>
      </c>
      <c r="Z108" s="171">
        <f>Pasākumu_līmenis!X73</f>
        <v>67678486.409999996</v>
      </c>
      <c r="AA108" s="172">
        <f t="shared" si="69"/>
        <v>0.95169305044355956</v>
      </c>
      <c r="AB108" s="172">
        <f t="shared" si="63"/>
        <v>0</v>
      </c>
      <c r="AC108" s="172">
        <f t="shared" si="59"/>
        <v>0</v>
      </c>
      <c r="AD108" s="171">
        <f>Pasākumu_līmenis!AB73</f>
        <v>6</v>
      </c>
      <c r="AE108" s="171">
        <v>67678486.409999996</v>
      </c>
      <c r="AF108" s="172">
        <v>0.95169305044355956</v>
      </c>
      <c r="AG108" s="171">
        <f>Pasākumu_līmenis!AE73</f>
        <v>68830864.569999993</v>
      </c>
      <c r="AH108" s="172">
        <f t="shared" si="70"/>
        <v>0.96789776104702963</v>
      </c>
      <c r="AI108" s="172">
        <f t="shared" si="64"/>
        <v>0</v>
      </c>
      <c r="AJ108" s="172">
        <f t="shared" si="60"/>
        <v>0</v>
      </c>
      <c r="AK108" s="171">
        <v>68830864.569999993</v>
      </c>
      <c r="AL108" s="172">
        <v>0.96789776104702963</v>
      </c>
    </row>
    <row r="109" spans="1:38" ht="21" customHeight="1" x14ac:dyDescent="0.3">
      <c r="A109" s="257" t="s">
        <v>286</v>
      </c>
      <c r="B109" s="256" t="str">
        <f>VLOOKUP(A109,saīsinājumi_LV_ENG!A:G,5,FALSE)</f>
        <v>Lidostas "Rīga" attīstība</v>
      </c>
      <c r="C109" s="12" t="s">
        <v>78</v>
      </c>
      <c r="D109" s="12"/>
      <c r="E109" s="40" t="str">
        <f>Pasākumu_līmenis!D74</f>
        <v>KF</v>
      </c>
      <c r="F109" s="40" t="str">
        <f>Pasākumu_līmenis!E74</f>
        <v>SM</v>
      </c>
      <c r="G109" s="279" t="str">
        <f>VLOOKUP(A109,'2. Intervences kategorijas - Pa'!B:D,2,FALSE)</f>
        <v>07 - Veicināt ilgtspējīgu transportu un novērst trūkumus galvenajās tīkla infrastruktūrās</v>
      </c>
      <c r="H109" s="171">
        <f>Pasākumu_līmenis!F74</f>
        <v>12984765</v>
      </c>
      <c r="I109" s="171">
        <f>Pasākumu_līmenis!G74</f>
        <v>0</v>
      </c>
      <c r="J109" s="171">
        <f>Pasākumu_līmenis!H74</f>
        <v>12984765</v>
      </c>
      <c r="K109" s="171">
        <f>Pasākumu_līmenis!I74</f>
        <v>710524.46285737399</v>
      </c>
      <c r="L109" s="171">
        <f>Pasākumu_līmenis!J74</f>
        <v>11839585.01</v>
      </c>
      <c r="M109" s="172">
        <f t="shared" si="65"/>
        <v>0.91180587480789987</v>
      </c>
      <c r="N109" s="172">
        <f t="shared" si="61"/>
        <v>0</v>
      </c>
      <c r="O109" s="172">
        <f t="shared" si="66"/>
        <v>0</v>
      </c>
      <c r="P109" s="171">
        <f>Pasākumu_līmenis!N74</f>
        <v>2</v>
      </c>
      <c r="Q109" s="171">
        <v>11839585.01</v>
      </c>
      <c r="R109" s="172">
        <v>0.91180587480789987</v>
      </c>
      <c r="S109" s="171">
        <f>Pasākumu_līmenis!Q74</f>
        <v>11839585.01</v>
      </c>
      <c r="T109" s="172">
        <f t="shared" si="67"/>
        <v>0.91180587480789987</v>
      </c>
      <c r="U109" s="172">
        <f t="shared" si="62"/>
        <v>0</v>
      </c>
      <c r="V109" s="172">
        <f t="shared" si="68"/>
        <v>0</v>
      </c>
      <c r="W109" s="171">
        <f>Pasākumu_līmenis!U74</f>
        <v>2</v>
      </c>
      <c r="X109" s="171">
        <v>11839585.01</v>
      </c>
      <c r="Y109" s="172">
        <v>0.91180587480789987</v>
      </c>
      <c r="Z109" s="171">
        <f>Pasākumu_līmenis!X74</f>
        <v>11839585.01</v>
      </c>
      <c r="AA109" s="172">
        <f t="shared" si="69"/>
        <v>0.91180587480789987</v>
      </c>
      <c r="AB109" s="172">
        <f t="shared" si="63"/>
        <v>0</v>
      </c>
      <c r="AC109" s="172">
        <f t="shared" si="59"/>
        <v>0</v>
      </c>
      <c r="AD109" s="171">
        <f>Pasākumu_līmenis!AB74</f>
        <v>2</v>
      </c>
      <c r="AE109" s="171">
        <v>11839585.01</v>
      </c>
      <c r="AF109" s="172">
        <v>0.91180587480789987</v>
      </c>
      <c r="AG109" s="171">
        <f>Pasākumu_līmenis!AE74</f>
        <v>11839585.01</v>
      </c>
      <c r="AH109" s="172">
        <f t="shared" si="70"/>
        <v>0.91180587480789987</v>
      </c>
      <c r="AI109" s="172">
        <f t="shared" si="64"/>
        <v>0</v>
      </c>
      <c r="AJ109" s="172">
        <f t="shared" si="60"/>
        <v>0</v>
      </c>
      <c r="AK109" s="171">
        <v>11839585.01</v>
      </c>
      <c r="AL109" s="172">
        <v>0.91180587480789987</v>
      </c>
    </row>
    <row r="110" spans="1:38" ht="21" customHeight="1" x14ac:dyDescent="0.3">
      <c r="A110" s="253" t="s">
        <v>440</v>
      </c>
      <c r="B110" s="254" t="str">
        <f>VLOOKUP(A110,saīsinājumi_LV_ENG!A:G,5,FALSE)</f>
        <v>Rīgas maģistrālo ielu pārbūve</v>
      </c>
      <c r="C110" s="222" t="s">
        <v>79</v>
      </c>
      <c r="D110" s="222" t="str">
        <f ca="1">IFERROR(IF((VLOOKUP(A110,Pasākumu_līmenis!A:H,3,0))=0,"",VLOOKUP(A110,Pasākumu_līmenis!A:H,3,0)),"")</f>
        <v/>
      </c>
      <c r="E110" s="224"/>
      <c r="F110" s="224"/>
      <c r="G110" s="278"/>
      <c r="H110" s="225">
        <f>SUM(H111:H112)</f>
        <v>106823313</v>
      </c>
      <c r="I110" s="225">
        <f>SUM(I111:I112)</f>
        <v>0</v>
      </c>
      <c r="J110" s="225">
        <f>SUM(J111:J112)</f>
        <v>106823313</v>
      </c>
      <c r="K110" s="225">
        <f>SUM(K111:K112)</f>
        <v>4646774.3627410103</v>
      </c>
      <c r="L110" s="225">
        <f>SUM(L111:L112)</f>
        <v>106807324.67</v>
      </c>
      <c r="M110" s="226">
        <f t="shared" si="65"/>
        <v>0.9998503292066967</v>
      </c>
      <c r="N110" s="226">
        <f t="shared" si="61"/>
        <v>0</v>
      </c>
      <c r="O110" s="226">
        <f t="shared" si="66"/>
        <v>0</v>
      </c>
      <c r="P110" s="225">
        <f>SUM(P111:P112)</f>
        <v>5</v>
      </c>
      <c r="Q110" s="225">
        <v>106807324.67</v>
      </c>
      <c r="R110" s="226">
        <v>0.9998503292066967</v>
      </c>
      <c r="S110" s="225">
        <f>SUM(S111:S112)</f>
        <v>106807324.67</v>
      </c>
      <c r="T110" s="226">
        <f t="shared" si="67"/>
        <v>0.9998503292066967</v>
      </c>
      <c r="U110" s="226">
        <f t="shared" si="62"/>
        <v>0</v>
      </c>
      <c r="V110" s="226">
        <f t="shared" si="68"/>
        <v>0</v>
      </c>
      <c r="W110" s="225">
        <f>SUM(W111:W112)</f>
        <v>5</v>
      </c>
      <c r="X110" s="225">
        <v>106807324.67</v>
      </c>
      <c r="Y110" s="226">
        <v>0.9998503292066967</v>
      </c>
      <c r="Z110" s="225">
        <f>SUM(Z111:Z112)</f>
        <v>106807324.67</v>
      </c>
      <c r="AA110" s="226">
        <f t="shared" si="69"/>
        <v>0.9998503292066967</v>
      </c>
      <c r="AB110" s="226">
        <f t="shared" si="63"/>
        <v>0</v>
      </c>
      <c r="AC110" s="226">
        <f t="shared" si="59"/>
        <v>0</v>
      </c>
      <c r="AD110" s="225">
        <f>SUM(AD111:AD112)</f>
        <v>5</v>
      </c>
      <c r="AE110" s="225">
        <v>106807324.67</v>
      </c>
      <c r="AF110" s="226">
        <v>0.9998503292066967</v>
      </c>
      <c r="AG110" s="225">
        <f>SUM(AG111:AG112)</f>
        <v>106807324.67</v>
      </c>
      <c r="AH110" s="226">
        <f t="shared" si="70"/>
        <v>0.9998503292066967</v>
      </c>
      <c r="AI110" s="226">
        <f t="shared" si="64"/>
        <v>0</v>
      </c>
      <c r="AJ110" s="226">
        <f t="shared" si="60"/>
        <v>0</v>
      </c>
      <c r="AK110" s="225">
        <v>106807324.67</v>
      </c>
      <c r="AL110" s="226">
        <v>0.9998503292066967</v>
      </c>
    </row>
    <row r="111" spans="1:38" ht="21" customHeight="1" x14ac:dyDescent="0.3">
      <c r="A111" s="255" t="s">
        <v>287</v>
      </c>
      <c r="B111" s="256" t="str">
        <f>VLOOKUP(A111,saīsinājumi_LV_ENG!A:G,5,FALSE)</f>
        <v>Rīgas tiltu un pārvadu pārbūve</v>
      </c>
      <c r="C111" s="12" t="s">
        <v>192</v>
      </c>
      <c r="D111" s="12"/>
      <c r="E111" s="40" t="str">
        <f>Pasākumu_līmenis!D75</f>
        <v>KF</v>
      </c>
      <c r="F111" s="40" t="str">
        <f>Pasākumu_līmenis!E75</f>
        <v>SM</v>
      </c>
      <c r="G111" s="279" t="str">
        <f>VLOOKUP(A111,'2. Intervences kategorijas - Pa'!B:D,2,FALSE)</f>
        <v>07 - Veicināt ilgtspējīgu transportu un novērst trūkumus galvenajās tīkla infrastruktūrās</v>
      </c>
      <c r="H111" s="171">
        <f>Pasākumu_līmenis!F75</f>
        <v>106823313</v>
      </c>
      <c r="I111" s="171">
        <f>Pasākumu_līmenis!G75</f>
        <v>0</v>
      </c>
      <c r="J111" s="171">
        <f>Pasākumu_līmenis!H75</f>
        <v>106823313</v>
      </c>
      <c r="K111" s="171">
        <f>Pasākumu_līmenis!I75</f>
        <v>4646774.3627410103</v>
      </c>
      <c r="L111" s="171">
        <f>Pasākumu_līmenis!J75</f>
        <v>106807324.67</v>
      </c>
      <c r="M111" s="172">
        <f t="shared" si="65"/>
        <v>0.9998503292066967</v>
      </c>
      <c r="N111" s="172">
        <f t="shared" si="61"/>
        <v>0</v>
      </c>
      <c r="O111" s="172">
        <f t="shared" si="66"/>
        <v>0</v>
      </c>
      <c r="P111" s="171">
        <f>Pasākumu_līmenis!N75</f>
        <v>5</v>
      </c>
      <c r="Q111" s="171">
        <v>106807324.67</v>
      </c>
      <c r="R111" s="172">
        <v>0.9998503292066967</v>
      </c>
      <c r="S111" s="171">
        <f>Pasākumu_līmenis!Q75</f>
        <v>106807324.67</v>
      </c>
      <c r="T111" s="172">
        <f t="shared" si="67"/>
        <v>0.9998503292066967</v>
      </c>
      <c r="U111" s="172">
        <f t="shared" si="62"/>
        <v>0</v>
      </c>
      <c r="V111" s="172">
        <f t="shared" si="68"/>
        <v>0</v>
      </c>
      <c r="W111" s="171">
        <f>Pasākumu_līmenis!U75</f>
        <v>5</v>
      </c>
      <c r="X111" s="171">
        <v>106807324.67</v>
      </c>
      <c r="Y111" s="172">
        <v>0.9998503292066967</v>
      </c>
      <c r="Z111" s="171">
        <f>Pasākumu_līmenis!X75</f>
        <v>106807324.67</v>
      </c>
      <c r="AA111" s="172">
        <f t="shared" si="69"/>
        <v>0.9998503292066967</v>
      </c>
      <c r="AB111" s="172">
        <f t="shared" si="63"/>
        <v>0</v>
      </c>
      <c r="AC111" s="172">
        <f t="shared" si="59"/>
        <v>0</v>
      </c>
      <c r="AD111" s="171">
        <f>Pasākumu_līmenis!AB75</f>
        <v>5</v>
      </c>
      <c r="AE111" s="171">
        <v>106807324.67</v>
      </c>
      <c r="AF111" s="172">
        <v>0.9998503292066967</v>
      </c>
      <c r="AG111" s="171">
        <f>Pasākumu_līmenis!AE75</f>
        <v>106807324.67</v>
      </c>
      <c r="AH111" s="172">
        <f t="shared" si="70"/>
        <v>0.9998503292066967</v>
      </c>
      <c r="AI111" s="172">
        <f t="shared" si="64"/>
        <v>0</v>
      </c>
      <c r="AJ111" s="172">
        <f t="shared" si="60"/>
        <v>0</v>
      </c>
      <c r="AK111" s="171">
        <v>106807324.67</v>
      </c>
      <c r="AL111" s="172">
        <v>0.9998503292066967</v>
      </c>
    </row>
    <row r="112" spans="1:38" ht="39.75" customHeight="1" x14ac:dyDescent="0.3">
      <c r="A112" s="255" t="s">
        <v>288</v>
      </c>
      <c r="B112" s="256" t="str">
        <f>VLOOKUP(A112,saīsinājumi_LV_ENG!A:G,5,FALSE)</f>
        <v>Torņkalna multimodālais transporta mezgls</v>
      </c>
      <c r="C112" s="12" t="s">
        <v>193</v>
      </c>
      <c r="D112" s="12"/>
      <c r="E112" s="40" t="str">
        <f>Pasākumu_līmenis!D76</f>
        <v>KF</v>
      </c>
      <c r="F112" s="40" t="str">
        <f>Pasākumu_līmenis!E76</f>
        <v>SM</v>
      </c>
      <c r="G112" s="279" t="str">
        <f>VLOOKUP(A112,'2. Intervences kategorijas - Pa'!B:D,2,FALSE)</f>
        <v>07 - Veicināt ilgtspējīgu transportu un novērst trūkumus galvenajās tīkla infrastruktūrās</v>
      </c>
      <c r="H112" s="171">
        <f>Pasākumu_līmenis!F76</f>
        <v>0</v>
      </c>
      <c r="I112" s="171">
        <f>Pasākumu_līmenis!G76</f>
        <v>0</v>
      </c>
      <c r="J112" s="171">
        <f>Pasākumu_līmenis!H76</f>
        <v>0</v>
      </c>
      <c r="K112" s="171">
        <f>Pasākumu_līmenis!I76</f>
        <v>0</v>
      </c>
      <c r="L112" s="171">
        <f>Pasākumu_līmenis!J76</f>
        <v>0</v>
      </c>
      <c r="M112" s="172">
        <f>IFERROR(L112/$H112,0)</f>
        <v>0</v>
      </c>
      <c r="N112" s="172">
        <f t="shared" si="61"/>
        <v>0</v>
      </c>
      <c r="O112" s="172">
        <f t="shared" si="66"/>
        <v>0</v>
      </c>
      <c r="P112" s="171">
        <f>Pasākumu_līmenis!N76</f>
        <v>0</v>
      </c>
      <c r="Q112" s="171">
        <v>0</v>
      </c>
      <c r="R112" s="172">
        <v>0</v>
      </c>
      <c r="S112" s="171">
        <f>Pasākumu_līmenis!Q76</f>
        <v>0</v>
      </c>
      <c r="T112" s="172">
        <f>IFERROR(S112/$H112,0)</f>
        <v>0</v>
      </c>
      <c r="U112" s="172">
        <f t="shared" si="62"/>
        <v>0</v>
      </c>
      <c r="V112" s="172">
        <f t="shared" si="68"/>
        <v>0</v>
      </c>
      <c r="W112" s="171">
        <f>Pasākumu_līmenis!U76</f>
        <v>0</v>
      </c>
      <c r="X112" s="171">
        <v>0</v>
      </c>
      <c r="Y112" s="172">
        <v>0</v>
      </c>
      <c r="Z112" s="171">
        <f>Pasākumu_līmenis!X76</f>
        <v>0</v>
      </c>
      <c r="AA112" s="172">
        <f>IFERROR(Z112/$H112,0)</f>
        <v>0</v>
      </c>
      <c r="AB112" s="172">
        <f t="shared" si="63"/>
        <v>0</v>
      </c>
      <c r="AC112" s="172">
        <f t="shared" si="59"/>
        <v>0</v>
      </c>
      <c r="AD112" s="171">
        <f>Pasākumu_līmenis!AB76</f>
        <v>0</v>
      </c>
      <c r="AE112" s="171">
        <v>0</v>
      </c>
      <c r="AF112" s="172">
        <v>0</v>
      </c>
      <c r="AG112" s="171">
        <f>Pasākumu_līmenis!AE76</f>
        <v>0</v>
      </c>
      <c r="AH112" s="172">
        <f>IFERROR(AG112/$H112,0)</f>
        <v>0</v>
      </c>
      <c r="AI112" s="172">
        <f t="shared" si="64"/>
        <v>0</v>
      </c>
      <c r="AJ112" s="172">
        <f t="shared" si="60"/>
        <v>0</v>
      </c>
      <c r="AK112" s="171">
        <v>0</v>
      </c>
      <c r="AL112" s="172">
        <v>0</v>
      </c>
    </row>
    <row r="113" spans="1:38" ht="39.75" customHeight="1" x14ac:dyDescent="0.3">
      <c r="A113" s="253" t="s">
        <v>441</v>
      </c>
      <c r="B113" s="254" t="str">
        <f>VLOOKUP(A113,saīsinājumi_LV_ENG!A:G,5,FALSE)</f>
        <v>Pilsētu infrastruktūras sasaiste ar TEN-T tīklu</v>
      </c>
      <c r="C113" s="222" t="s">
        <v>80</v>
      </c>
      <c r="D113" s="222"/>
      <c r="E113" s="224"/>
      <c r="F113" s="224"/>
      <c r="G113" s="278"/>
      <c r="H113" s="225">
        <f>SUM(H114:H115)</f>
        <v>49756932</v>
      </c>
      <c r="I113" s="225">
        <f>SUM(I114:I115)</f>
        <v>0</v>
      </c>
      <c r="J113" s="225">
        <f>SUM(J114:J115)</f>
        <v>49756932</v>
      </c>
      <c r="K113" s="225">
        <f>SUM(K114:K115)</f>
        <v>2778862.1693609902</v>
      </c>
      <c r="L113" s="225">
        <f>SUM(L114:L115)</f>
        <v>44979146.530000001</v>
      </c>
      <c r="M113" s="226">
        <f t="shared" si="65"/>
        <v>0.9039774906137702</v>
      </c>
      <c r="N113" s="226">
        <f t="shared" si="61"/>
        <v>0</v>
      </c>
      <c r="O113" s="226">
        <f t="shared" si="66"/>
        <v>0</v>
      </c>
      <c r="P113" s="225">
        <f>SUM(P114:P115)</f>
        <v>9</v>
      </c>
      <c r="Q113" s="225">
        <v>44979146.530000001</v>
      </c>
      <c r="R113" s="226">
        <v>0.9039774906137702</v>
      </c>
      <c r="S113" s="225">
        <f>SUM(S114:S115)</f>
        <v>44979146.530000001</v>
      </c>
      <c r="T113" s="226">
        <f t="shared" si="67"/>
        <v>0.9039774906137702</v>
      </c>
      <c r="U113" s="226">
        <f t="shared" si="62"/>
        <v>0</v>
      </c>
      <c r="V113" s="226">
        <f t="shared" si="68"/>
        <v>0</v>
      </c>
      <c r="W113" s="225">
        <f>SUM(W114:W115)</f>
        <v>9</v>
      </c>
      <c r="X113" s="225">
        <v>44979146.530000001</v>
      </c>
      <c r="Y113" s="226">
        <v>0.9039774906137702</v>
      </c>
      <c r="Z113" s="225">
        <f>SUM(Z114:Z115)</f>
        <v>44979146.530000001</v>
      </c>
      <c r="AA113" s="226">
        <f t="shared" si="69"/>
        <v>0.9039774906137702</v>
      </c>
      <c r="AB113" s="226">
        <f t="shared" si="63"/>
        <v>0</v>
      </c>
      <c r="AC113" s="226">
        <f t="shared" si="59"/>
        <v>0</v>
      </c>
      <c r="AD113" s="225">
        <f>SUM(AD114:AD115)</f>
        <v>9</v>
      </c>
      <c r="AE113" s="225">
        <v>44979146.530000001</v>
      </c>
      <c r="AF113" s="226">
        <v>0.9039774906137702</v>
      </c>
      <c r="AG113" s="225">
        <f>SUM(AG114:AG115)</f>
        <v>45378831.93</v>
      </c>
      <c r="AH113" s="226">
        <f t="shared" si="70"/>
        <v>0.91201024874282843</v>
      </c>
      <c r="AI113" s="226">
        <f t="shared" si="64"/>
        <v>-4.0163790645292297E-3</v>
      </c>
      <c r="AJ113" s="226">
        <f t="shared" si="60"/>
        <v>-4.3845658440551929E-3</v>
      </c>
      <c r="AK113" s="225">
        <v>45578674.630000003</v>
      </c>
      <c r="AL113" s="226">
        <v>0.91602662780735766</v>
      </c>
    </row>
    <row r="114" spans="1:38" ht="39.75" customHeight="1" x14ac:dyDescent="0.3">
      <c r="A114" s="255" t="s">
        <v>289</v>
      </c>
      <c r="B114" s="256" t="str">
        <f>VLOOKUP(A114,saīsinājumi_LV_ENG!A:G,5,FALSE)</f>
        <v>Rīgas pilsētas integrēšana TEN-T tīklā</v>
      </c>
      <c r="C114" s="12" t="s">
        <v>194</v>
      </c>
      <c r="D114" s="12"/>
      <c r="E114" s="40" t="str">
        <f>Pasākumu_līmenis!D77</f>
        <v>KF</v>
      </c>
      <c r="F114" s="40" t="str">
        <f>Pasākumu_līmenis!E77</f>
        <v>SM</v>
      </c>
      <c r="G114" s="279" t="str">
        <f>VLOOKUP(A114,'2. Intervences kategorijas - Pa'!B:D,2,FALSE)</f>
        <v>07 - Veicināt ilgtspējīgu transportu un novērst trūkumus galvenajās tīkla infrastruktūrās</v>
      </c>
      <c r="H114" s="171">
        <f>Pasākumu_līmenis!F77</f>
        <v>0</v>
      </c>
      <c r="I114" s="171">
        <f>Pasākumu_līmenis!G77</f>
        <v>0</v>
      </c>
      <c r="J114" s="171">
        <f>Pasākumu_līmenis!H77</f>
        <v>0</v>
      </c>
      <c r="K114" s="171">
        <f>Pasākumu_līmenis!I77</f>
        <v>0</v>
      </c>
      <c r="L114" s="171">
        <f>Pasākumu_līmenis!J77</f>
        <v>0</v>
      </c>
      <c r="M114" s="172">
        <f>IFERROR(L114/$H114,0)</f>
        <v>0</v>
      </c>
      <c r="N114" s="172">
        <f t="shared" si="61"/>
        <v>0</v>
      </c>
      <c r="O114" s="172">
        <f t="shared" si="66"/>
        <v>0</v>
      </c>
      <c r="P114" s="171">
        <f>Pasākumu_līmenis!N77</f>
        <v>0</v>
      </c>
      <c r="Q114" s="171">
        <v>0</v>
      </c>
      <c r="R114" s="172">
        <v>0</v>
      </c>
      <c r="S114" s="171">
        <f>Pasākumu_līmenis!Q77</f>
        <v>0</v>
      </c>
      <c r="T114" s="172">
        <f>IFERROR(S114/$H114,0)</f>
        <v>0</v>
      </c>
      <c r="U114" s="172">
        <f t="shared" si="62"/>
        <v>0</v>
      </c>
      <c r="V114" s="172">
        <f t="shared" si="68"/>
        <v>0</v>
      </c>
      <c r="W114" s="171">
        <f>Pasākumu_līmenis!U77</f>
        <v>0</v>
      </c>
      <c r="X114" s="171">
        <v>0</v>
      </c>
      <c r="Y114" s="172">
        <v>0</v>
      </c>
      <c r="Z114" s="171">
        <f>Pasākumu_līmenis!X77</f>
        <v>0</v>
      </c>
      <c r="AA114" s="172">
        <f>IFERROR(Z114/$H114,0)</f>
        <v>0</v>
      </c>
      <c r="AB114" s="172">
        <f t="shared" si="63"/>
        <v>0</v>
      </c>
      <c r="AC114" s="172">
        <f t="shared" si="59"/>
        <v>0</v>
      </c>
      <c r="AD114" s="171">
        <f>Pasākumu_līmenis!AB77</f>
        <v>0</v>
      </c>
      <c r="AE114" s="171">
        <v>0</v>
      </c>
      <c r="AF114" s="172">
        <v>0</v>
      </c>
      <c r="AG114" s="171">
        <f>Pasākumu_līmenis!AE77</f>
        <v>0</v>
      </c>
      <c r="AH114" s="172">
        <f>IFERROR(AG114/$H114,0)</f>
        <v>0</v>
      </c>
      <c r="AI114" s="172">
        <f t="shared" si="64"/>
        <v>0</v>
      </c>
      <c r="AJ114" s="172">
        <f t="shared" si="60"/>
        <v>0</v>
      </c>
      <c r="AK114" s="171">
        <v>0</v>
      </c>
      <c r="AL114" s="172">
        <v>0</v>
      </c>
    </row>
    <row r="115" spans="1:38" ht="39.75" customHeight="1" x14ac:dyDescent="0.3">
      <c r="A115" s="255" t="s">
        <v>290</v>
      </c>
      <c r="B115" s="256" t="str">
        <f>VLOOKUP(A115,saīsinājumi_LV_ENG!A:G,5,FALSE)</f>
        <v>Lielo pilsētu integrēšana TEN-T tīklā</v>
      </c>
      <c r="C115" s="12" t="s">
        <v>195</v>
      </c>
      <c r="D115" s="44"/>
      <c r="E115" s="40" t="str">
        <f>Pasākumu_līmenis!D78</f>
        <v>KF</v>
      </c>
      <c r="F115" s="40" t="str">
        <f>Pasākumu_līmenis!E78</f>
        <v>SM</v>
      </c>
      <c r="G115" s="279" t="str">
        <f>VLOOKUP(A115,'2. Intervences kategorijas - Pa'!B:D,2,FALSE)</f>
        <v>07 - Veicināt ilgtspējīgu transportu un novērst trūkumus galvenajās tīkla infrastruktūrās</v>
      </c>
      <c r="H115" s="171">
        <f>Pasākumu_līmenis!F78</f>
        <v>49756932</v>
      </c>
      <c r="I115" s="171">
        <f>Pasākumu_līmenis!G78</f>
        <v>0</v>
      </c>
      <c r="J115" s="171">
        <f>Pasākumu_līmenis!H78</f>
        <v>49756932</v>
      </c>
      <c r="K115" s="171">
        <f>Pasākumu_līmenis!I78</f>
        <v>2778862.1693609902</v>
      </c>
      <c r="L115" s="171">
        <f>Pasākumu_līmenis!J78</f>
        <v>44979146.530000001</v>
      </c>
      <c r="M115" s="172">
        <f t="shared" si="65"/>
        <v>0.9039774906137702</v>
      </c>
      <c r="N115" s="172">
        <f t="shared" si="61"/>
        <v>0</v>
      </c>
      <c r="O115" s="172">
        <f t="shared" si="66"/>
        <v>0</v>
      </c>
      <c r="P115" s="171">
        <f>Pasākumu_līmenis!N78</f>
        <v>9</v>
      </c>
      <c r="Q115" s="171">
        <v>44979146.530000001</v>
      </c>
      <c r="R115" s="172">
        <v>0.9039774906137702</v>
      </c>
      <c r="S115" s="171">
        <f>Pasākumu_līmenis!Q78</f>
        <v>44979146.530000001</v>
      </c>
      <c r="T115" s="172">
        <f t="shared" si="67"/>
        <v>0.9039774906137702</v>
      </c>
      <c r="U115" s="172">
        <f t="shared" si="62"/>
        <v>0</v>
      </c>
      <c r="V115" s="172">
        <f t="shared" si="68"/>
        <v>0</v>
      </c>
      <c r="W115" s="171">
        <f>Pasākumu_līmenis!U78</f>
        <v>9</v>
      </c>
      <c r="X115" s="171">
        <v>44979146.530000001</v>
      </c>
      <c r="Y115" s="172">
        <v>0.9039774906137702</v>
      </c>
      <c r="Z115" s="171">
        <f>Pasākumu_līmenis!X78</f>
        <v>44979146.530000001</v>
      </c>
      <c r="AA115" s="172">
        <f t="shared" si="69"/>
        <v>0.9039774906137702</v>
      </c>
      <c r="AB115" s="172">
        <f t="shared" si="63"/>
        <v>0</v>
      </c>
      <c r="AC115" s="172">
        <f t="shared" si="59"/>
        <v>0</v>
      </c>
      <c r="AD115" s="171">
        <f>Pasākumu_līmenis!AB78</f>
        <v>9</v>
      </c>
      <c r="AE115" s="171">
        <v>44979146.530000001</v>
      </c>
      <c r="AF115" s="172">
        <v>0.9039774906137702</v>
      </c>
      <c r="AG115" s="171">
        <f>Pasākumu_līmenis!AE78</f>
        <v>45378831.93</v>
      </c>
      <c r="AH115" s="172">
        <f t="shared" si="70"/>
        <v>0.91201024874282843</v>
      </c>
      <c r="AI115" s="172">
        <f t="shared" si="64"/>
        <v>-4.0163790645292297E-3</v>
      </c>
      <c r="AJ115" s="172">
        <f t="shared" si="60"/>
        <v>-4.3845658440551929E-3</v>
      </c>
      <c r="AK115" s="171">
        <v>45578674.630000003</v>
      </c>
      <c r="AL115" s="172">
        <v>0.91602662780735766</v>
      </c>
    </row>
    <row r="116" spans="1:38" ht="21" customHeight="1" x14ac:dyDescent="0.3">
      <c r="A116" s="257" t="s">
        <v>291</v>
      </c>
      <c r="B116" s="256" t="str">
        <f>VLOOKUP(A116,saīsinājumi_LV_ENG!A:G,5,FALSE)</f>
        <v>Galveno autoceļu pārbūve</v>
      </c>
      <c r="C116" s="12" t="s">
        <v>81</v>
      </c>
      <c r="D116" s="44"/>
      <c r="E116" s="40" t="str">
        <f>Pasākumu_līmenis!D79</f>
        <v>KF</v>
      </c>
      <c r="F116" s="40" t="str">
        <f>Pasākumu_līmenis!E79</f>
        <v>SM</v>
      </c>
      <c r="G116" s="279" t="str">
        <f>VLOOKUP(A116,'2. Intervences kategorijas - Pa'!B:D,2,FALSE)</f>
        <v>07 - Veicināt ilgtspējīgu transportu un novērst trūkumus galvenajās tīkla infrastruktūrās</v>
      </c>
      <c r="H116" s="171">
        <f>Pasākumu_līmenis!F79</f>
        <v>257791486</v>
      </c>
      <c r="I116" s="171">
        <f>Pasākumu_līmenis!G79</f>
        <v>0</v>
      </c>
      <c r="J116" s="171">
        <f>Pasākumu_līmenis!H79</f>
        <v>257791486</v>
      </c>
      <c r="K116" s="171">
        <f>Pasākumu_līmenis!I79</f>
        <v>13514767.514866401</v>
      </c>
      <c r="L116" s="171">
        <f>Pasākumu_līmenis!J79</f>
        <v>252454762.66999999</v>
      </c>
      <c r="M116" s="172">
        <f t="shared" si="65"/>
        <v>0.97929829486300413</v>
      </c>
      <c r="N116" s="172">
        <f t="shared" si="61"/>
        <v>0</v>
      </c>
      <c r="O116" s="172">
        <f t="shared" si="66"/>
        <v>0</v>
      </c>
      <c r="P116" s="171">
        <f>Pasākumu_līmenis!N79</f>
        <v>24</v>
      </c>
      <c r="Q116" s="171">
        <v>252454762.66999999</v>
      </c>
      <c r="R116" s="172">
        <v>0.97929829486300413</v>
      </c>
      <c r="S116" s="171">
        <f>Pasākumu_līmenis!Q79</f>
        <v>252454762.66999999</v>
      </c>
      <c r="T116" s="172">
        <f t="shared" si="67"/>
        <v>0.97929829486300413</v>
      </c>
      <c r="U116" s="172">
        <f t="shared" si="62"/>
        <v>0</v>
      </c>
      <c r="V116" s="172">
        <f t="shared" si="68"/>
        <v>0</v>
      </c>
      <c r="W116" s="171">
        <f>Pasākumu_līmenis!U79</f>
        <v>24</v>
      </c>
      <c r="X116" s="171">
        <v>252454762.66999999</v>
      </c>
      <c r="Y116" s="172">
        <v>0.97929829486300413</v>
      </c>
      <c r="Z116" s="171">
        <f>Pasākumu_līmenis!X79</f>
        <v>252454762.66999999</v>
      </c>
      <c r="AA116" s="172">
        <f t="shared" si="69"/>
        <v>0.97929829486300413</v>
      </c>
      <c r="AB116" s="172">
        <f t="shared" si="63"/>
        <v>0</v>
      </c>
      <c r="AC116" s="172">
        <f t="shared" si="59"/>
        <v>0</v>
      </c>
      <c r="AD116" s="171">
        <f>Pasākumu_līmenis!AB79</f>
        <v>24</v>
      </c>
      <c r="AE116" s="171">
        <v>252454762.66999999</v>
      </c>
      <c r="AF116" s="172">
        <v>0.97929829486300413</v>
      </c>
      <c r="AG116" s="171">
        <f>Pasākumu_līmenis!AE79</f>
        <v>251921771.31</v>
      </c>
      <c r="AH116" s="172">
        <f t="shared" si="70"/>
        <v>0.9772307659144337</v>
      </c>
      <c r="AI116" s="172">
        <f t="shared" si="64"/>
        <v>0</v>
      </c>
      <c r="AJ116" s="172">
        <f t="shared" si="60"/>
        <v>0</v>
      </c>
      <c r="AK116" s="171">
        <v>251921771.31</v>
      </c>
      <c r="AL116" s="172">
        <v>0.9772307659144337</v>
      </c>
    </row>
    <row r="117" spans="1:38" ht="39.75" customHeight="1" x14ac:dyDescent="0.3">
      <c r="A117" s="257" t="s">
        <v>1295</v>
      </c>
      <c r="B117" s="256" t="str">
        <f>VLOOKUP(A117,saīsinājumi_LV_ENG!A:G,5,FALSE)</f>
        <v>Transporta nozares informācijas piekļuves punkta izveide</v>
      </c>
      <c r="C117" s="12"/>
      <c r="D117" s="44"/>
      <c r="E117" s="40" t="str">
        <f>Pasākumu_līmenis!D80</f>
        <v>KF</v>
      </c>
      <c r="F117" s="40" t="str">
        <f>Pasākumu_līmenis!E80</f>
        <v>SM</v>
      </c>
      <c r="G117" s="279"/>
      <c r="H117" s="171">
        <f>Pasākumu_līmenis!F80</f>
        <v>5000000</v>
      </c>
      <c r="I117" s="171">
        <f>Pasākumu_līmenis!G80</f>
        <v>0</v>
      </c>
      <c r="J117" s="171">
        <f>Pasākumu_līmenis!H80</f>
        <v>5000000</v>
      </c>
      <c r="K117" s="171"/>
      <c r="L117" s="171">
        <f>Pasākumu_līmenis!J80</f>
        <v>4167215.19</v>
      </c>
      <c r="M117" s="172">
        <f t="shared" si="65"/>
        <v>0.83344303799999997</v>
      </c>
      <c r="N117" s="172">
        <f>M117-R117</f>
        <v>0</v>
      </c>
      <c r="O117" s="172">
        <f t="shared" si="66"/>
        <v>0</v>
      </c>
      <c r="P117" s="171">
        <f>Pasākumu_līmenis!N80</f>
        <v>1</v>
      </c>
      <c r="Q117" s="171">
        <v>4167215.19</v>
      </c>
      <c r="R117" s="172">
        <v>0.83344303799999997</v>
      </c>
      <c r="S117" s="171">
        <f>Pasākumu_līmenis!Q80</f>
        <v>4167215.19</v>
      </c>
      <c r="T117" s="172">
        <f t="shared" ref="T117" si="84">S117/$H117</f>
        <v>0.83344303799999997</v>
      </c>
      <c r="U117" s="172">
        <f t="shared" ref="U117" si="85">T117-Y117</f>
        <v>0</v>
      </c>
      <c r="V117" s="172">
        <f t="shared" ref="V117" si="86">IFERROR(((S117-X117)/X117),0)</f>
        <v>0</v>
      </c>
      <c r="W117" s="171">
        <f>Pasākumu_līmenis!U80</f>
        <v>1</v>
      </c>
      <c r="X117" s="171">
        <v>4167215.19</v>
      </c>
      <c r="Y117" s="172">
        <v>0.83344303799999997</v>
      </c>
      <c r="Z117" s="171">
        <f>Pasākumu_līmenis!X80</f>
        <v>4167215.19</v>
      </c>
      <c r="AA117" s="172">
        <f t="shared" ref="AA117" si="87">Z117/$H117</f>
        <v>0.83344303799999997</v>
      </c>
      <c r="AB117" s="172">
        <f t="shared" ref="AB117" si="88">AA117-AF117</f>
        <v>0</v>
      </c>
      <c r="AC117" s="172">
        <f t="shared" ref="AC117" si="89">IFERROR(((Z117-AE117)/AE117),0)</f>
        <v>0</v>
      </c>
      <c r="AD117" s="171">
        <f>Pasākumu_līmenis!AB80</f>
        <v>1</v>
      </c>
      <c r="AE117" s="171">
        <v>4167215.19</v>
      </c>
      <c r="AF117" s="172">
        <v>0.83344303799999997</v>
      </c>
      <c r="AG117" s="171">
        <f>Pasākumu_līmenis!AE80</f>
        <v>4167215.19</v>
      </c>
      <c r="AH117" s="172">
        <f t="shared" ref="AH117" si="90">AG117/$H117</f>
        <v>0.83344303799999997</v>
      </c>
      <c r="AI117" s="172">
        <f t="shared" ref="AI117" si="91">AH117-AL117</f>
        <v>0</v>
      </c>
      <c r="AJ117" s="172">
        <f t="shared" ref="AJ117" si="92">IFERROR(((AG117-AK117)/AK117),0)</f>
        <v>0</v>
      </c>
      <c r="AK117" s="171">
        <v>4167215.19</v>
      </c>
      <c r="AL117" s="172">
        <v>0.83344303799999997</v>
      </c>
    </row>
    <row r="118" spans="1:38" ht="39.75" customHeight="1" x14ac:dyDescent="0.3">
      <c r="A118" s="257" t="s">
        <v>1338</v>
      </c>
      <c r="B118" s="256" t="str">
        <f>Pasākumu_līmenis!B81</f>
        <v>Ar Rail Baltica projekta saistītās atbalsta infrastruktūras pārbūve</v>
      </c>
      <c r="C118" s="12"/>
      <c r="D118" s="44"/>
      <c r="E118" s="40" t="str">
        <f>Pasākumu_līmenis!D81</f>
        <v>KF</v>
      </c>
      <c r="F118" s="40" t="str">
        <f>Pasākumu_līmenis!E81</f>
        <v>SM</v>
      </c>
      <c r="G118" s="279"/>
      <c r="H118" s="171">
        <f>Pasākumu_līmenis!F81</f>
        <v>23800000</v>
      </c>
      <c r="I118" s="171">
        <f>Pasākumu_līmenis!G81</f>
        <v>0</v>
      </c>
      <c r="J118" s="171">
        <f>Pasākumu_līmenis!H81</f>
        <v>23800000</v>
      </c>
      <c r="K118" s="171"/>
      <c r="L118" s="171">
        <f>Pasākumu_līmenis!J81</f>
        <v>21501368.760000002</v>
      </c>
      <c r="M118" s="172">
        <f t="shared" ref="M118" si="93">L118/$H118</f>
        <v>0.90341885546218492</v>
      </c>
      <c r="N118" s="172">
        <f>M118-R118</f>
        <v>0</v>
      </c>
      <c r="O118" s="172">
        <f t="shared" ref="O118" si="94">IFERROR(((L118-Q118)/Q118),0)</f>
        <v>0</v>
      </c>
      <c r="P118" s="171">
        <f>Pasākumu_līmenis!N81</f>
        <v>1</v>
      </c>
      <c r="Q118" s="171">
        <v>21501368.760000002</v>
      </c>
      <c r="R118" s="172">
        <v>0.90341885546218492</v>
      </c>
      <c r="S118" s="171">
        <f>Pasākumu_līmenis!Q81</f>
        <v>21501368.760000002</v>
      </c>
      <c r="T118" s="172">
        <f t="shared" ref="T118" si="95">S118/$H118</f>
        <v>0.90341885546218492</v>
      </c>
      <c r="U118" s="172">
        <f t="shared" ref="U118" si="96">T118-Y118</f>
        <v>0</v>
      </c>
      <c r="V118" s="172">
        <f t="shared" ref="V118" si="97">IFERROR(((S118-X118)/X118),0)</f>
        <v>0</v>
      </c>
      <c r="W118" s="171">
        <f>Pasākumu_līmenis!U81</f>
        <v>1</v>
      </c>
      <c r="X118" s="171">
        <v>21501368.760000002</v>
      </c>
      <c r="Y118" s="172">
        <v>0.90341885546218492</v>
      </c>
      <c r="Z118" s="171">
        <f>Pasākumu_līmenis!X81</f>
        <v>21501368.760000002</v>
      </c>
      <c r="AA118" s="172">
        <f t="shared" ref="AA118" si="98">Z118/$H118</f>
        <v>0.90341885546218492</v>
      </c>
      <c r="AB118" s="172">
        <f t="shared" ref="AB118" si="99">AA118-AF118</f>
        <v>0</v>
      </c>
      <c r="AC118" s="172">
        <f t="shared" ref="AC118" si="100">IFERROR(((Z118-AE118)/AE118),0)</f>
        <v>0</v>
      </c>
      <c r="AD118" s="171">
        <f>Pasākumu_līmenis!AB81</f>
        <v>1</v>
      </c>
      <c r="AE118" s="171">
        <v>21501368.760000002</v>
      </c>
      <c r="AF118" s="172">
        <v>0.90341885546218492</v>
      </c>
      <c r="AG118" s="171">
        <f>Pasākumu_līmenis!AE81</f>
        <v>21501368.760000002</v>
      </c>
      <c r="AH118" s="172">
        <f t="shared" ref="AH118" si="101">AG118/$H118</f>
        <v>0.90341885546218492</v>
      </c>
      <c r="AI118" s="172">
        <f t="shared" ref="AI118" si="102">AH118-AL118</f>
        <v>0</v>
      </c>
      <c r="AJ118" s="172">
        <f t="shared" ref="AJ118" si="103">IFERROR(((AG118-AK118)/AK118),0)</f>
        <v>0</v>
      </c>
      <c r="AK118" s="171">
        <v>21501368.760000002</v>
      </c>
      <c r="AL118" s="172">
        <v>0.90341885546218492</v>
      </c>
    </row>
    <row r="119" spans="1:38" ht="39.75" customHeight="1" x14ac:dyDescent="0.3">
      <c r="A119" s="257" t="s">
        <v>1339</v>
      </c>
      <c r="B119" s="256" t="str">
        <f>Pasākumu_līmenis!B82</f>
        <v>Pētījums sabiedriskā transporta plānam Rīgas metropoles areālā</v>
      </c>
      <c r="C119" s="12"/>
      <c r="D119" s="44"/>
      <c r="E119" s="40" t="str">
        <f>Pasākumu_līmenis!D82</f>
        <v>KF</v>
      </c>
      <c r="F119" s="40" t="str">
        <f>Pasākumu_līmenis!E82</f>
        <v>SM</v>
      </c>
      <c r="G119" s="279"/>
      <c r="H119" s="171">
        <f>Pasākumu_līmenis!F82</f>
        <v>1000000</v>
      </c>
      <c r="I119" s="171">
        <f>Pasākumu_līmenis!G82</f>
        <v>0</v>
      </c>
      <c r="J119" s="171">
        <f>Pasākumu_līmenis!H82</f>
        <v>1000000</v>
      </c>
      <c r="K119" s="171"/>
      <c r="L119" s="171">
        <f>Pasākumu_līmenis!J82</f>
        <v>952787.7</v>
      </c>
      <c r="M119" s="172">
        <f t="shared" ref="M119" si="104">L119/$H119</f>
        <v>0.9527876999999999</v>
      </c>
      <c r="N119" s="172">
        <f>M119-R119</f>
        <v>0</v>
      </c>
      <c r="O119" s="172">
        <f t="shared" ref="O119" si="105">IFERROR(((L119-Q119)/Q119),0)</f>
        <v>0</v>
      </c>
      <c r="P119" s="171">
        <f>Pasākumu_līmenis!N82</f>
        <v>1</v>
      </c>
      <c r="Q119" s="171">
        <v>952787.7</v>
      </c>
      <c r="R119" s="172">
        <v>0.9527876999999999</v>
      </c>
      <c r="S119" s="171">
        <f>Pasākumu_līmenis!Q82</f>
        <v>952787.7</v>
      </c>
      <c r="T119" s="172">
        <f t="shared" ref="T119" si="106">S119/$H119</f>
        <v>0.9527876999999999</v>
      </c>
      <c r="U119" s="172">
        <f t="shared" ref="U119" si="107">T119-Y119</f>
        <v>0</v>
      </c>
      <c r="V119" s="172">
        <f t="shared" ref="V119" si="108">IFERROR(((S119-X119)/X119),0)</f>
        <v>0</v>
      </c>
      <c r="W119" s="171">
        <f>Pasākumu_līmenis!U82</f>
        <v>1</v>
      </c>
      <c r="X119" s="171">
        <v>952787.7</v>
      </c>
      <c r="Y119" s="172">
        <v>0.9527876999999999</v>
      </c>
      <c r="Z119" s="171">
        <f>Pasākumu_līmenis!X82</f>
        <v>952787.7</v>
      </c>
      <c r="AA119" s="172">
        <f t="shared" ref="AA119" si="109">Z119/$H119</f>
        <v>0.9527876999999999</v>
      </c>
      <c r="AB119" s="172">
        <f t="shared" ref="AB119" si="110">AA119-AF119</f>
        <v>0</v>
      </c>
      <c r="AC119" s="172">
        <f t="shared" ref="AC119" si="111">IFERROR(((Z119-AE119)/AE119),0)</f>
        <v>0</v>
      </c>
      <c r="AD119" s="171">
        <f>Pasākumu_līmenis!AB82</f>
        <v>1</v>
      </c>
      <c r="AE119" s="171">
        <v>952787.7</v>
      </c>
      <c r="AF119" s="172">
        <v>0.9527876999999999</v>
      </c>
      <c r="AG119" s="171">
        <f>Pasākumu_līmenis!AE82</f>
        <v>952787.7</v>
      </c>
      <c r="AH119" s="172">
        <f t="shared" ref="AH119" si="112">AG119/$H119</f>
        <v>0.9527876999999999</v>
      </c>
      <c r="AI119" s="172">
        <f t="shared" ref="AI119" si="113">AH119-AL119</f>
        <v>0</v>
      </c>
      <c r="AJ119" s="172">
        <f t="shared" ref="AJ119" si="114">IFERROR(((AG119-AK119)/AK119),0)</f>
        <v>0</v>
      </c>
      <c r="AK119" s="171">
        <v>952787.7</v>
      </c>
      <c r="AL119" s="172">
        <v>0.9527876999999999</v>
      </c>
    </row>
    <row r="120" spans="1:38" ht="21" customHeight="1" x14ac:dyDescent="0.3">
      <c r="A120" s="251" t="s">
        <v>73</v>
      </c>
      <c r="B120" s="252" t="str">
        <f>VLOOKUP(A120,saīsinājumi_LV_ENG!A:G,5,FALSE)</f>
        <v>Investīcijas dzelzceļa tīklā</v>
      </c>
      <c r="C120" s="217" t="s">
        <v>82</v>
      </c>
      <c r="D120" s="218"/>
      <c r="E120" s="219"/>
      <c r="F120" s="219"/>
      <c r="G120" s="277"/>
      <c r="H120" s="220">
        <f>H121</f>
        <v>123087758</v>
      </c>
      <c r="I120" s="220">
        <f>I121</f>
        <v>0</v>
      </c>
      <c r="J120" s="220">
        <f>J121</f>
        <v>123087758</v>
      </c>
      <c r="K120" s="220">
        <f>K121</f>
        <v>28082986</v>
      </c>
      <c r="L120" s="220">
        <f>L121</f>
        <v>61815726.850000001</v>
      </c>
      <c r="M120" s="221">
        <f t="shared" si="65"/>
        <v>0.50220856935260771</v>
      </c>
      <c r="N120" s="221">
        <f t="shared" si="61"/>
        <v>0</v>
      </c>
      <c r="O120" s="221">
        <f t="shared" si="66"/>
        <v>0</v>
      </c>
      <c r="P120" s="220">
        <f>P121</f>
        <v>3</v>
      </c>
      <c r="Q120" s="220">
        <v>61815726.850000001</v>
      </c>
      <c r="R120" s="221">
        <v>0.50220856935260771</v>
      </c>
      <c r="S120" s="220">
        <f>S121</f>
        <v>61815726.850000001</v>
      </c>
      <c r="T120" s="221">
        <f t="shared" si="67"/>
        <v>0.50220856935260771</v>
      </c>
      <c r="U120" s="221">
        <f t="shared" si="62"/>
        <v>0</v>
      </c>
      <c r="V120" s="221">
        <f t="shared" si="68"/>
        <v>0</v>
      </c>
      <c r="W120" s="220">
        <f>W121</f>
        <v>3</v>
      </c>
      <c r="X120" s="220">
        <v>61815726.850000001</v>
      </c>
      <c r="Y120" s="221">
        <v>0.50220856935260771</v>
      </c>
      <c r="Z120" s="220">
        <f>Z121</f>
        <v>61815726.850000001</v>
      </c>
      <c r="AA120" s="221">
        <f t="shared" si="69"/>
        <v>0.50220856935260771</v>
      </c>
      <c r="AB120" s="221">
        <f t="shared" si="63"/>
        <v>0</v>
      </c>
      <c r="AC120" s="221">
        <f t="shared" si="59"/>
        <v>0</v>
      </c>
      <c r="AD120" s="220">
        <f>AD121</f>
        <v>3</v>
      </c>
      <c r="AE120" s="220">
        <v>61815726.850000001</v>
      </c>
      <c r="AF120" s="221">
        <v>0.50220856935260771</v>
      </c>
      <c r="AG120" s="220">
        <f>AG121</f>
        <v>61815726.850000001</v>
      </c>
      <c r="AH120" s="221">
        <f t="shared" si="70"/>
        <v>0.50220856935260771</v>
      </c>
      <c r="AI120" s="221">
        <f t="shared" si="64"/>
        <v>0</v>
      </c>
      <c r="AJ120" s="221">
        <f t="shared" si="60"/>
        <v>0</v>
      </c>
      <c r="AK120" s="220">
        <v>61815726.850000001</v>
      </c>
      <c r="AL120" s="221">
        <v>0.50220856935260771</v>
      </c>
    </row>
    <row r="121" spans="1:38" ht="21" customHeight="1" x14ac:dyDescent="0.3">
      <c r="A121" s="253" t="s">
        <v>442</v>
      </c>
      <c r="B121" s="254" t="str">
        <f>VLOOKUP(A121,saīsinājumi_LV_ENG!A:G,5,FALSE)</f>
        <v>Latvijas dzelzceļa tīkla attīstība</v>
      </c>
      <c r="C121" s="222" t="s">
        <v>83</v>
      </c>
      <c r="D121" s="223"/>
      <c r="E121" s="224"/>
      <c r="F121" s="224"/>
      <c r="G121" s="278"/>
      <c r="H121" s="225">
        <f>SUM(H122:H123)</f>
        <v>123087758</v>
      </c>
      <c r="I121" s="225">
        <f>SUM(I122:I123)</f>
        <v>0</v>
      </c>
      <c r="J121" s="225">
        <f>SUM(J122:J123)</f>
        <v>123087758</v>
      </c>
      <c r="K121" s="225">
        <f>SUM(K122:K123)</f>
        <v>28082986</v>
      </c>
      <c r="L121" s="225">
        <f>SUM(L122:L123)</f>
        <v>61815726.850000001</v>
      </c>
      <c r="M121" s="226">
        <f t="shared" si="65"/>
        <v>0.50220856935260771</v>
      </c>
      <c r="N121" s="226">
        <f t="shared" si="61"/>
        <v>0</v>
      </c>
      <c r="O121" s="226">
        <f t="shared" si="66"/>
        <v>0</v>
      </c>
      <c r="P121" s="225">
        <f>SUM(P122:P123)</f>
        <v>3</v>
      </c>
      <c r="Q121" s="225">
        <v>61815726.850000001</v>
      </c>
      <c r="R121" s="226">
        <v>0.50220856935260771</v>
      </c>
      <c r="S121" s="225">
        <f>SUM(S122:S123)</f>
        <v>61815726.850000001</v>
      </c>
      <c r="T121" s="226">
        <f t="shared" si="67"/>
        <v>0.50220856935260771</v>
      </c>
      <c r="U121" s="226">
        <f t="shared" si="62"/>
        <v>0</v>
      </c>
      <c r="V121" s="226">
        <f t="shared" si="68"/>
        <v>0</v>
      </c>
      <c r="W121" s="225">
        <f>SUM(W122:W123)</f>
        <v>3</v>
      </c>
      <c r="X121" s="225">
        <v>61815726.850000001</v>
      </c>
      <c r="Y121" s="226">
        <v>0.50220856935260771</v>
      </c>
      <c r="Z121" s="225">
        <f>SUM(Z122:Z123)</f>
        <v>61815726.850000001</v>
      </c>
      <c r="AA121" s="226">
        <f t="shared" si="69"/>
        <v>0.50220856935260771</v>
      </c>
      <c r="AB121" s="226">
        <f t="shared" si="63"/>
        <v>0</v>
      </c>
      <c r="AC121" s="226">
        <f t="shared" si="59"/>
        <v>0</v>
      </c>
      <c r="AD121" s="225">
        <f>SUM(AD122:AD123)</f>
        <v>3</v>
      </c>
      <c r="AE121" s="225">
        <v>61815726.850000001</v>
      </c>
      <c r="AF121" s="226">
        <v>0.50220856935260771</v>
      </c>
      <c r="AG121" s="225">
        <f>SUM(AG122:AG123)</f>
        <v>61815726.850000001</v>
      </c>
      <c r="AH121" s="226">
        <f t="shared" si="70"/>
        <v>0.50220856935260771</v>
      </c>
      <c r="AI121" s="226">
        <f t="shared" si="64"/>
        <v>0</v>
      </c>
      <c r="AJ121" s="226">
        <f t="shared" si="60"/>
        <v>0</v>
      </c>
      <c r="AK121" s="225">
        <v>61815726.850000001</v>
      </c>
      <c r="AL121" s="226">
        <v>0.50220856935260771</v>
      </c>
    </row>
    <row r="122" spans="1:38" ht="21" customHeight="1" x14ac:dyDescent="0.3">
      <c r="A122" s="255" t="s">
        <v>292</v>
      </c>
      <c r="B122" s="256" t="str">
        <f>VLOOKUP(A122,saīsinājumi_LV_ENG!A:G,5,FALSE)</f>
        <v>Dzelzceļa elektrifikācija</v>
      </c>
      <c r="C122" s="12" t="s">
        <v>196</v>
      </c>
      <c r="D122" s="44"/>
      <c r="E122" s="40" t="str">
        <f>Pasākumu_līmenis!D83</f>
        <v>KF</v>
      </c>
      <c r="F122" s="40" t="str">
        <f>Pasākumu_līmenis!E83</f>
        <v>SM</v>
      </c>
      <c r="G122" s="279" t="str">
        <f>VLOOKUP(A122,'2. Intervences kategorijas - Pa'!B:D,2,FALSE)</f>
        <v>07 - Veicināt ilgtspējīgu transportu un novērst trūkumus galvenajās tīkla infrastruktūrās</v>
      </c>
      <c r="H122" s="171">
        <f>Pasākumu_līmenis!F83</f>
        <v>0</v>
      </c>
      <c r="I122" s="171">
        <f>Pasākumu_līmenis!G83</f>
        <v>0</v>
      </c>
      <c r="J122" s="171">
        <f>Pasākumu_līmenis!H83</f>
        <v>0</v>
      </c>
      <c r="K122" s="171">
        <f>Pasākumu_līmenis!I83</f>
        <v>28082986</v>
      </c>
      <c r="L122" s="171">
        <f>Pasākumu_līmenis!J83</f>
        <v>0</v>
      </c>
      <c r="M122" s="172">
        <f>IFERROR(L122/$H122,0)</f>
        <v>0</v>
      </c>
      <c r="N122" s="172">
        <f t="shared" si="61"/>
        <v>0</v>
      </c>
      <c r="O122" s="172">
        <f t="shared" si="66"/>
        <v>0</v>
      </c>
      <c r="P122" s="171">
        <f>Pasākumu_līmenis!N83</f>
        <v>0</v>
      </c>
      <c r="Q122" s="171">
        <v>0</v>
      </c>
      <c r="R122" s="172">
        <v>0</v>
      </c>
      <c r="S122" s="171">
        <f>Pasākumu_līmenis!Q83</f>
        <v>0</v>
      </c>
      <c r="T122" s="172">
        <f>IFERROR(S122/$H122,0)</f>
        <v>0</v>
      </c>
      <c r="U122" s="172">
        <f t="shared" si="62"/>
        <v>0</v>
      </c>
      <c r="V122" s="172">
        <f t="shared" si="68"/>
        <v>0</v>
      </c>
      <c r="W122" s="171">
        <f>Pasākumu_līmenis!U83</f>
        <v>0</v>
      </c>
      <c r="X122" s="171">
        <v>0</v>
      </c>
      <c r="Y122" s="172">
        <v>0</v>
      </c>
      <c r="Z122" s="171">
        <f>Pasākumu_līmenis!X83</f>
        <v>0</v>
      </c>
      <c r="AA122" s="172">
        <f>IFERROR(Z122/$H122,0)</f>
        <v>0</v>
      </c>
      <c r="AB122" s="172">
        <f t="shared" si="63"/>
        <v>0</v>
      </c>
      <c r="AC122" s="172">
        <f t="shared" si="59"/>
        <v>0</v>
      </c>
      <c r="AD122" s="171">
        <f>Pasākumu_līmenis!AB83</f>
        <v>0</v>
      </c>
      <c r="AE122" s="171">
        <v>0</v>
      </c>
      <c r="AF122" s="172">
        <v>0</v>
      </c>
      <c r="AG122" s="171">
        <f>Pasākumu_līmenis!AE83</f>
        <v>0</v>
      </c>
      <c r="AH122" s="172">
        <f>IFERROR(AG122/$H122,0)</f>
        <v>0</v>
      </c>
      <c r="AI122" s="172">
        <f t="shared" si="64"/>
        <v>0</v>
      </c>
      <c r="AJ122" s="172">
        <f t="shared" si="60"/>
        <v>0</v>
      </c>
      <c r="AK122" s="171">
        <v>0</v>
      </c>
      <c r="AL122" s="172">
        <v>0</v>
      </c>
    </row>
    <row r="123" spans="1:38" ht="21" customHeight="1" x14ac:dyDescent="0.3">
      <c r="A123" s="255" t="s">
        <v>293</v>
      </c>
      <c r="B123" s="256" t="str">
        <f>VLOOKUP(A123,saīsinājumi_LV_ENG!A:G,5,FALSE)</f>
        <v>Dzelzceļa infrastruktūra</v>
      </c>
      <c r="C123" s="12" t="s">
        <v>197</v>
      </c>
      <c r="D123" s="44"/>
      <c r="E123" s="40" t="str">
        <f>Pasākumu_līmenis!D84</f>
        <v>KF</v>
      </c>
      <c r="F123" s="40" t="str">
        <f>Pasākumu_līmenis!E84</f>
        <v>SM</v>
      </c>
      <c r="G123" s="279" t="str">
        <f>VLOOKUP(A123,'2. Intervences kategorijas - Pa'!B:D,2,FALSE)</f>
        <v>07 - Veicināt ilgtspējīgu transportu un novērst trūkumus galvenajās tīkla infrastruktūrās</v>
      </c>
      <c r="H123" s="171">
        <f>Pasākumu_līmenis!F84</f>
        <v>123087758</v>
      </c>
      <c r="I123" s="171">
        <f>Pasākumu_līmenis!G84</f>
        <v>0</v>
      </c>
      <c r="J123" s="171">
        <f>Pasākumu_līmenis!H84</f>
        <v>123087758</v>
      </c>
      <c r="K123" s="171">
        <f>Pasākumu_līmenis!I84</f>
        <v>0</v>
      </c>
      <c r="L123" s="171">
        <f>Pasākumu_līmenis!J84</f>
        <v>61815726.850000001</v>
      </c>
      <c r="M123" s="172">
        <f t="shared" si="65"/>
        <v>0.50220856935260771</v>
      </c>
      <c r="N123" s="172">
        <f t="shared" si="61"/>
        <v>0</v>
      </c>
      <c r="O123" s="172">
        <f t="shared" si="66"/>
        <v>0</v>
      </c>
      <c r="P123" s="171">
        <f>Pasākumu_līmenis!N84</f>
        <v>3</v>
      </c>
      <c r="Q123" s="171">
        <v>61815726.850000001</v>
      </c>
      <c r="R123" s="172">
        <v>0.50220856935260771</v>
      </c>
      <c r="S123" s="171">
        <f>Pasākumu_līmenis!Q84</f>
        <v>61815726.850000001</v>
      </c>
      <c r="T123" s="172">
        <f t="shared" si="67"/>
        <v>0.50220856935260771</v>
      </c>
      <c r="U123" s="172">
        <f t="shared" si="62"/>
        <v>0</v>
      </c>
      <c r="V123" s="172">
        <f t="shared" si="68"/>
        <v>0</v>
      </c>
      <c r="W123" s="171">
        <f>Pasākumu_līmenis!U84</f>
        <v>3</v>
      </c>
      <c r="X123" s="171">
        <v>61815726.850000001</v>
      </c>
      <c r="Y123" s="172">
        <v>0.50220856935260771</v>
      </c>
      <c r="Z123" s="171">
        <f>Pasākumu_līmenis!X84</f>
        <v>61815726.850000001</v>
      </c>
      <c r="AA123" s="172">
        <f t="shared" si="69"/>
        <v>0.50220856935260771</v>
      </c>
      <c r="AB123" s="172">
        <f t="shared" si="63"/>
        <v>0</v>
      </c>
      <c r="AC123" s="172">
        <f t="shared" si="59"/>
        <v>0</v>
      </c>
      <c r="AD123" s="171">
        <f>Pasākumu_līmenis!AB84</f>
        <v>3</v>
      </c>
      <c r="AE123" s="171">
        <v>61815726.850000001</v>
      </c>
      <c r="AF123" s="172">
        <v>0.50220856935260771</v>
      </c>
      <c r="AG123" s="171">
        <f>Pasākumu_līmenis!AE84</f>
        <v>61815726.850000001</v>
      </c>
      <c r="AH123" s="172">
        <f t="shared" si="70"/>
        <v>0.50220856935260771</v>
      </c>
      <c r="AI123" s="172">
        <f t="shared" si="64"/>
        <v>0</v>
      </c>
      <c r="AJ123" s="172">
        <f t="shared" si="60"/>
        <v>0</v>
      </c>
      <c r="AK123" s="171">
        <v>61815726.850000001</v>
      </c>
      <c r="AL123" s="172">
        <v>0.50220856935260771</v>
      </c>
    </row>
    <row r="124" spans="1:38" ht="59.25" customHeight="1" x14ac:dyDescent="0.3">
      <c r="A124" s="251" t="s">
        <v>74</v>
      </c>
      <c r="B124" s="252" t="str">
        <f>VLOOKUP(A124,saīsinājumi_LV_ENG!A:G,5,FALSE)</f>
        <v>Transporta infrastruktūrā reģionālās mobilitātes uzlabošanai</v>
      </c>
      <c r="C124" s="217" t="s">
        <v>84</v>
      </c>
      <c r="D124" s="218"/>
      <c r="E124" s="219"/>
      <c r="F124" s="219"/>
      <c r="G124" s="277"/>
      <c r="H124" s="220">
        <f>H125</f>
        <v>235477563</v>
      </c>
      <c r="I124" s="220">
        <f>I125</f>
        <v>0</v>
      </c>
      <c r="J124" s="220">
        <f>J125</f>
        <v>235477563</v>
      </c>
      <c r="K124" s="220">
        <f>K125</f>
        <v>14363011</v>
      </c>
      <c r="L124" s="220">
        <f>L125</f>
        <v>229698412.16999999</v>
      </c>
      <c r="M124" s="221">
        <f t="shared" si="65"/>
        <v>0.97545774316510991</v>
      </c>
      <c r="N124" s="221">
        <f t="shared" si="61"/>
        <v>0</v>
      </c>
      <c r="O124" s="221">
        <f t="shared" si="66"/>
        <v>0</v>
      </c>
      <c r="P124" s="220">
        <f>P125</f>
        <v>37</v>
      </c>
      <c r="Q124" s="220">
        <v>229698412.16999999</v>
      </c>
      <c r="R124" s="221">
        <v>0.97545774316510991</v>
      </c>
      <c r="S124" s="220">
        <f>S125</f>
        <v>229698412.16999999</v>
      </c>
      <c r="T124" s="221">
        <f t="shared" si="67"/>
        <v>0.97545774316510991</v>
      </c>
      <c r="U124" s="221">
        <f t="shared" si="62"/>
        <v>0</v>
      </c>
      <c r="V124" s="221">
        <f t="shared" si="68"/>
        <v>0</v>
      </c>
      <c r="W124" s="220">
        <f>W125</f>
        <v>37</v>
      </c>
      <c r="X124" s="220">
        <v>229698412.16999999</v>
      </c>
      <c r="Y124" s="221">
        <v>0.97545774316510991</v>
      </c>
      <c r="Z124" s="220">
        <f>Z125</f>
        <v>229698412.16999999</v>
      </c>
      <c r="AA124" s="221">
        <f t="shared" si="69"/>
        <v>0.97545774316510991</v>
      </c>
      <c r="AB124" s="221">
        <f t="shared" si="63"/>
        <v>0</v>
      </c>
      <c r="AC124" s="221">
        <f t="shared" si="59"/>
        <v>0</v>
      </c>
      <c r="AD124" s="220">
        <f>AD125</f>
        <v>37</v>
      </c>
      <c r="AE124" s="220">
        <v>229698412.16999999</v>
      </c>
      <c r="AF124" s="221">
        <v>0.97545774316510991</v>
      </c>
      <c r="AG124" s="220">
        <f>AG125</f>
        <v>229360295.77000001</v>
      </c>
      <c r="AH124" s="221">
        <f t="shared" si="70"/>
        <v>0.97402186793482315</v>
      </c>
      <c r="AI124" s="221">
        <f t="shared" si="64"/>
        <v>0</v>
      </c>
      <c r="AJ124" s="221">
        <f t="shared" si="60"/>
        <v>0</v>
      </c>
      <c r="AK124" s="220">
        <v>229360295.77000001</v>
      </c>
      <c r="AL124" s="221">
        <v>0.97402186793482315</v>
      </c>
    </row>
    <row r="125" spans="1:38" ht="21" customHeight="1" x14ac:dyDescent="0.3">
      <c r="A125" s="257" t="s">
        <v>294</v>
      </c>
      <c r="B125" s="256" t="str">
        <f>VLOOKUP(A125,saīsinājumi_LV_ENG!A:G,5,FALSE)</f>
        <v>Reģionālo autoceļu pārbūve</v>
      </c>
      <c r="C125" s="12" t="s">
        <v>85</v>
      </c>
      <c r="D125" s="12"/>
      <c r="E125" s="40" t="str">
        <f>Pasākumu_līmenis!D85</f>
        <v>ERAF</v>
      </c>
      <c r="F125" s="40" t="str">
        <f>Pasākumu_līmenis!E85</f>
        <v>SM</v>
      </c>
      <c r="G125" s="279" t="str">
        <f>VLOOKUP(A125,'2. Intervences kategorijas - Pa'!B:D,2,FALSE)</f>
        <v>07 - Veicināt ilgtspējīgu transportu un novērst trūkumus galvenajās tīkla infrastruktūrās</v>
      </c>
      <c r="H125" s="171">
        <f>Pasākumu_līmenis!F85</f>
        <v>235477563</v>
      </c>
      <c r="I125" s="171">
        <f>Pasākumu_līmenis!G85</f>
        <v>0</v>
      </c>
      <c r="J125" s="171">
        <f>Pasākumu_līmenis!H85</f>
        <v>235477563</v>
      </c>
      <c r="K125" s="171">
        <f>Pasākumu_līmenis!I85</f>
        <v>14363011</v>
      </c>
      <c r="L125" s="171">
        <f>Pasākumu_līmenis!J85</f>
        <v>229698412.16999999</v>
      </c>
      <c r="M125" s="172">
        <f t="shared" si="65"/>
        <v>0.97545774316510991</v>
      </c>
      <c r="N125" s="172">
        <f t="shared" si="61"/>
        <v>0</v>
      </c>
      <c r="O125" s="172">
        <f t="shared" si="66"/>
        <v>0</v>
      </c>
      <c r="P125" s="171">
        <f>Pasākumu_līmenis!N85</f>
        <v>37</v>
      </c>
      <c r="Q125" s="171">
        <v>229698412.16999999</v>
      </c>
      <c r="R125" s="172">
        <v>0.97545774316510991</v>
      </c>
      <c r="S125" s="171">
        <f>Pasākumu_līmenis!Q85</f>
        <v>229698412.16999999</v>
      </c>
      <c r="T125" s="172">
        <f t="shared" si="67"/>
        <v>0.97545774316510991</v>
      </c>
      <c r="U125" s="172">
        <f t="shared" si="62"/>
        <v>0</v>
      </c>
      <c r="V125" s="172">
        <f t="shared" si="68"/>
        <v>0</v>
      </c>
      <c r="W125" s="171">
        <f>Pasākumu_līmenis!U85</f>
        <v>37</v>
      </c>
      <c r="X125" s="171">
        <v>229698412.16999999</v>
      </c>
      <c r="Y125" s="172">
        <v>0.97545774316510991</v>
      </c>
      <c r="Z125" s="171">
        <f>Pasākumu_līmenis!X85</f>
        <v>229698412.16999999</v>
      </c>
      <c r="AA125" s="172">
        <f t="shared" si="69"/>
        <v>0.97545774316510991</v>
      </c>
      <c r="AB125" s="172">
        <f t="shared" si="63"/>
        <v>0</v>
      </c>
      <c r="AC125" s="172">
        <f t="shared" si="59"/>
        <v>0</v>
      </c>
      <c r="AD125" s="171">
        <f>Pasākumu_līmenis!AB85</f>
        <v>37</v>
      </c>
      <c r="AE125" s="171">
        <v>229698412.16999999</v>
      </c>
      <c r="AF125" s="172">
        <v>0.97545774316510991</v>
      </c>
      <c r="AG125" s="171">
        <f>Pasākumu_līmenis!AE85</f>
        <v>229360295.77000001</v>
      </c>
      <c r="AH125" s="172">
        <f t="shared" si="70"/>
        <v>0.97402186793482315</v>
      </c>
      <c r="AI125" s="172">
        <f t="shared" si="64"/>
        <v>0</v>
      </c>
      <c r="AJ125" s="172">
        <f t="shared" si="60"/>
        <v>0</v>
      </c>
      <c r="AK125" s="171">
        <v>229360295.77000001</v>
      </c>
      <c r="AL125" s="172">
        <v>0.97402186793482315</v>
      </c>
    </row>
    <row r="126" spans="1:38" ht="21" customHeight="1" x14ac:dyDescent="0.3">
      <c r="A126" s="249" t="s">
        <v>86</v>
      </c>
      <c r="B126" s="250" t="str">
        <f>VLOOKUP(A126,saīsinājumi_LV_ENG!A:G,5,FALSE)</f>
        <v>Nodarbinātība</v>
      </c>
      <c r="C126" s="10" t="s">
        <v>617</v>
      </c>
      <c r="D126" s="227"/>
      <c r="E126" s="68"/>
      <c r="F126" s="68"/>
      <c r="G126" s="281"/>
      <c r="H126" s="228">
        <f>H127+H132+H139</f>
        <v>163481471</v>
      </c>
      <c r="I126" s="228">
        <f>I127+I132+I139</f>
        <v>0</v>
      </c>
      <c r="J126" s="228">
        <f>J127+J132+J139</f>
        <v>163481471</v>
      </c>
      <c r="K126" s="228">
        <f>K127+K132+K139</f>
        <v>6973974</v>
      </c>
      <c r="L126" s="228">
        <f>L127+L132+L139</f>
        <v>162109868.37</v>
      </c>
      <c r="M126" s="229">
        <f t="shared" si="65"/>
        <v>0.99161004227812466</v>
      </c>
      <c r="N126" s="229">
        <f t="shared" si="61"/>
        <v>0</v>
      </c>
      <c r="O126" s="229">
        <f t="shared" si="66"/>
        <v>0</v>
      </c>
      <c r="P126" s="228">
        <f>P127+P132+P139</f>
        <v>7</v>
      </c>
      <c r="Q126" s="177">
        <v>162109868.37</v>
      </c>
      <c r="R126" s="178">
        <v>0.99161004227812466</v>
      </c>
      <c r="S126" s="228">
        <f>S127+S132+S139</f>
        <v>162109868.37</v>
      </c>
      <c r="T126" s="229">
        <f t="shared" si="67"/>
        <v>0.99161004227812466</v>
      </c>
      <c r="U126" s="229">
        <f t="shared" si="62"/>
        <v>0</v>
      </c>
      <c r="V126" s="229">
        <f t="shared" si="68"/>
        <v>0</v>
      </c>
      <c r="W126" s="228">
        <f>W127+W132+W139</f>
        <v>7</v>
      </c>
      <c r="X126" s="228">
        <v>162109868.37</v>
      </c>
      <c r="Y126" s="229">
        <v>0.99161004227812466</v>
      </c>
      <c r="Z126" s="228">
        <f>Z127+Z132+Z139</f>
        <v>162109868.37</v>
      </c>
      <c r="AA126" s="229">
        <f t="shared" si="69"/>
        <v>0.99161004227812466</v>
      </c>
      <c r="AB126" s="229">
        <f t="shared" si="63"/>
        <v>0</v>
      </c>
      <c r="AC126" s="229">
        <f t="shared" si="59"/>
        <v>0</v>
      </c>
      <c r="AD126" s="228">
        <f>AD127+AD132+AD139</f>
        <v>7</v>
      </c>
      <c r="AE126" s="177">
        <v>162109868.37</v>
      </c>
      <c r="AF126" s="178">
        <v>0.99161004227812466</v>
      </c>
      <c r="AG126" s="228">
        <f>AG127+AG132+AG139</f>
        <v>162109868.37</v>
      </c>
      <c r="AH126" s="229">
        <f t="shared" si="70"/>
        <v>0.99161004227812466</v>
      </c>
      <c r="AI126" s="229">
        <f t="shared" si="64"/>
        <v>0</v>
      </c>
      <c r="AJ126" s="229">
        <f t="shared" si="60"/>
        <v>0</v>
      </c>
      <c r="AK126" s="228">
        <v>162109868.37</v>
      </c>
      <c r="AL126" s="229">
        <v>0.99161004227812466</v>
      </c>
    </row>
    <row r="127" spans="1:38" ht="59.25" customHeight="1" x14ac:dyDescent="0.3">
      <c r="A127" s="251" t="s">
        <v>87</v>
      </c>
      <c r="B127" s="252" t="str">
        <f>VLOOKUP(A127,saīsinājumi_LV_ENG!A:G,5,FALSE)</f>
        <v>Nodarbinātības pieejamība bezdarbniekiem un darbaspēka mobilitāte</v>
      </c>
      <c r="C127" s="217" t="s">
        <v>90</v>
      </c>
      <c r="D127" s="218"/>
      <c r="E127" s="219"/>
      <c r="F127" s="219"/>
      <c r="G127" s="277"/>
      <c r="H127" s="220">
        <f>H128+H129</f>
        <v>89240703</v>
      </c>
      <c r="I127" s="220">
        <f>I128+I129</f>
        <v>0</v>
      </c>
      <c r="J127" s="220">
        <f>J128+J129</f>
        <v>89240703</v>
      </c>
      <c r="K127" s="220">
        <f>K128+K129</f>
        <v>5699925</v>
      </c>
      <c r="L127" s="220">
        <f>L128+L129</f>
        <v>89221291.719999999</v>
      </c>
      <c r="M127" s="221">
        <f t="shared" si="65"/>
        <v>0.99978248400844627</v>
      </c>
      <c r="N127" s="221">
        <f t="shared" si="61"/>
        <v>0</v>
      </c>
      <c r="O127" s="221">
        <f t="shared" si="66"/>
        <v>0</v>
      </c>
      <c r="P127" s="220">
        <f>P128+P129</f>
        <v>3</v>
      </c>
      <c r="Q127" s="220">
        <v>89221291.719999999</v>
      </c>
      <c r="R127" s="221">
        <v>0.99978248400844627</v>
      </c>
      <c r="S127" s="220">
        <f>S128+S129</f>
        <v>89221291.719999999</v>
      </c>
      <c r="T127" s="221">
        <f t="shared" si="67"/>
        <v>0.99978248400844627</v>
      </c>
      <c r="U127" s="221">
        <f t="shared" si="62"/>
        <v>0</v>
      </c>
      <c r="V127" s="221">
        <f t="shared" si="68"/>
        <v>0</v>
      </c>
      <c r="W127" s="220">
        <f>W128+W129</f>
        <v>3</v>
      </c>
      <c r="X127" s="220">
        <v>89221291.719999999</v>
      </c>
      <c r="Y127" s="221">
        <v>0.99978248400844627</v>
      </c>
      <c r="Z127" s="220">
        <f>Z128+Z129</f>
        <v>89221291.719999999</v>
      </c>
      <c r="AA127" s="221">
        <f t="shared" si="69"/>
        <v>0.99978248400844627</v>
      </c>
      <c r="AB127" s="221">
        <f t="shared" si="63"/>
        <v>0</v>
      </c>
      <c r="AC127" s="221">
        <f t="shared" si="59"/>
        <v>0</v>
      </c>
      <c r="AD127" s="220">
        <f>AD128+AD129</f>
        <v>3</v>
      </c>
      <c r="AE127" s="220">
        <v>89221291.719999999</v>
      </c>
      <c r="AF127" s="221">
        <v>0.99978248400844627</v>
      </c>
      <c r="AG127" s="220">
        <f>AG128+AG129</f>
        <v>89221291.719999999</v>
      </c>
      <c r="AH127" s="221">
        <f t="shared" si="70"/>
        <v>0.99978248400844627</v>
      </c>
      <c r="AI127" s="221">
        <f t="shared" si="64"/>
        <v>0</v>
      </c>
      <c r="AJ127" s="221">
        <f t="shared" si="60"/>
        <v>0</v>
      </c>
      <c r="AK127" s="220">
        <v>89221291.719999999</v>
      </c>
      <c r="AL127" s="221">
        <v>0.99978248400844627</v>
      </c>
    </row>
    <row r="128" spans="1:38" ht="21" customHeight="1" x14ac:dyDescent="0.3">
      <c r="A128" s="257" t="s">
        <v>296</v>
      </c>
      <c r="B128" s="256" t="str">
        <f>VLOOKUP(A128,saīsinājumi_LV_ENG!A:G,5,FALSE)</f>
        <v>Atbalsts bezdarbnieku izglītībai</v>
      </c>
      <c r="C128" s="12" t="s">
        <v>91</v>
      </c>
      <c r="D128" s="44"/>
      <c r="E128" s="40" t="str">
        <f>Pasākumu_līmenis!D87</f>
        <v>ESF</v>
      </c>
      <c r="F128" s="40" t="str">
        <f>Pasākumu_līmenis!E87</f>
        <v>LM</v>
      </c>
      <c r="G128" s="279" t="str">
        <f>VLOOKUP(A128,'2. Intervences kategorijas - Pa'!B:D,2,FALSE)</f>
        <v>08 - Veicināt stabilas un kvalitatīvas darba vietas un atbalstīt darbaspēka mobilitāti</v>
      </c>
      <c r="H128" s="171">
        <f>Pasākumu_līmenis!F87</f>
        <v>87338436</v>
      </c>
      <c r="I128" s="171">
        <f>Pasākumu_līmenis!G87</f>
        <v>0</v>
      </c>
      <c r="J128" s="171">
        <f>Pasākumu_līmenis!H87</f>
        <v>87338436</v>
      </c>
      <c r="K128" s="171">
        <f>Pasākumu_līmenis!I87</f>
        <v>5699925</v>
      </c>
      <c r="L128" s="171">
        <f>Pasākumu_līmenis!J87</f>
        <v>87333801.5</v>
      </c>
      <c r="M128" s="172">
        <f t="shared" si="65"/>
        <v>0.99994693630648479</v>
      </c>
      <c r="N128" s="172">
        <f t="shared" si="61"/>
        <v>0</v>
      </c>
      <c r="O128" s="172">
        <f t="shared" si="66"/>
        <v>0</v>
      </c>
      <c r="P128" s="171">
        <f>Pasākumu_līmenis!N87</f>
        <v>1</v>
      </c>
      <c r="Q128" s="171">
        <v>87333801.5</v>
      </c>
      <c r="R128" s="172">
        <v>0.99994693630648479</v>
      </c>
      <c r="S128" s="171">
        <f>Pasākumu_līmenis!Q87</f>
        <v>87333801.5</v>
      </c>
      <c r="T128" s="172">
        <f t="shared" si="67"/>
        <v>0.99994693630648479</v>
      </c>
      <c r="U128" s="172">
        <f t="shared" si="62"/>
        <v>0</v>
      </c>
      <c r="V128" s="172">
        <f t="shared" si="68"/>
        <v>0</v>
      </c>
      <c r="W128" s="171">
        <f>Pasākumu_līmenis!U87</f>
        <v>1</v>
      </c>
      <c r="X128" s="171">
        <v>87333801.5</v>
      </c>
      <c r="Y128" s="172">
        <v>0.99994693630648479</v>
      </c>
      <c r="Z128" s="171">
        <f>Pasākumu_līmenis!X87</f>
        <v>87333801.5</v>
      </c>
      <c r="AA128" s="172">
        <f t="shared" si="69"/>
        <v>0.99994693630648479</v>
      </c>
      <c r="AB128" s="172">
        <f t="shared" si="63"/>
        <v>0</v>
      </c>
      <c r="AC128" s="172">
        <f t="shared" si="59"/>
        <v>0</v>
      </c>
      <c r="AD128" s="171">
        <f>Pasākumu_līmenis!AB87</f>
        <v>1</v>
      </c>
      <c r="AE128" s="171">
        <v>87333801.5</v>
      </c>
      <c r="AF128" s="172">
        <v>0.99994693630648479</v>
      </c>
      <c r="AG128" s="171">
        <f>Pasākumu_līmenis!AE87</f>
        <v>87333801.5</v>
      </c>
      <c r="AH128" s="172">
        <f t="shared" si="70"/>
        <v>0.99994693630648479</v>
      </c>
      <c r="AI128" s="172">
        <f t="shared" si="64"/>
        <v>0</v>
      </c>
      <c r="AJ128" s="172">
        <f t="shared" si="60"/>
        <v>0</v>
      </c>
      <c r="AK128" s="171">
        <v>87333801.5</v>
      </c>
      <c r="AL128" s="172">
        <v>0.99994693630648479</v>
      </c>
    </row>
    <row r="129" spans="1:38" ht="39.75" customHeight="1" x14ac:dyDescent="0.3">
      <c r="A129" s="253" t="s">
        <v>443</v>
      </c>
      <c r="B129" s="254" t="str">
        <f>VLOOKUP(A129,saīsinājumi_LV_ENG!A:G,5,FALSE)</f>
        <v xml:space="preserve">Darba tirgus prognozēšanas sistēma </v>
      </c>
      <c r="C129" s="222" t="s">
        <v>92</v>
      </c>
      <c r="D129" s="223"/>
      <c r="E129" s="224"/>
      <c r="F129" s="224"/>
      <c r="G129" s="278"/>
      <c r="H129" s="225">
        <f>SUM(H130:H131)</f>
        <v>1902267</v>
      </c>
      <c r="I129" s="225">
        <f>SUM(I130:I131)</f>
        <v>0</v>
      </c>
      <c r="J129" s="225">
        <f>SUM(J130:J131)</f>
        <v>1902267</v>
      </c>
      <c r="K129" s="225">
        <f>SUM(K130:K131)</f>
        <v>0</v>
      </c>
      <c r="L129" s="225">
        <f>SUM(L130:L131)</f>
        <v>1887490.2199999997</v>
      </c>
      <c r="M129" s="226">
        <f t="shared" si="65"/>
        <v>0.99223201580009524</v>
      </c>
      <c r="N129" s="226">
        <f t="shared" si="61"/>
        <v>0</v>
      </c>
      <c r="O129" s="226">
        <f t="shared" si="66"/>
        <v>0</v>
      </c>
      <c r="P129" s="225">
        <f>SUM(P130:P131)</f>
        <v>2</v>
      </c>
      <c r="Q129" s="225">
        <v>1887490.2199999997</v>
      </c>
      <c r="R129" s="226">
        <v>0.99223201580009524</v>
      </c>
      <c r="S129" s="225">
        <f>SUM(S130:S131)</f>
        <v>1887490.2199999997</v>
      </c>
      <c r="T129" s="226">
        <f t="shared" si="67"/>
        <v>0.99223201580009524</v>
      </c>
      <c r="U129" s="226">
        <f t="shared" si="62"/>
        <v>0</v>
      </c>
      <c r="V129" s="226">
        <f t="shared" si="68"/>
        <v>0</v>
      </c>
      <c r="W129" s="225">
        <f>SUM(W130:W131)</f>
        <v>2</v>
      </c>
      <c r="X129" s="225">
        <v>1887490.2199999997</v>
      </c>
      <c r="Y129" s="226">
        <v>0.99223201580009524</v>
      </c>
      <c r="Z129" s="225">
        <f>SUM(Z130:Z131)</f>
        <v>1887490.2199999997</v>
      </c>
      <c r="AA129" s="226">
        <f t="shared" si="69"/>
        <v>0.99223201580009524</v>
      </c>
      <c r="AB129" s="226">
        <f t="shared" si="63"/>
        <v>0</v>
      </c>
      <c r="AC129" s="226">
        <f t="shared" si="59"/>
        <v>0</v>
      </c>
      <c r="AD129" s="225">
        <f>SUM(AD130:AD131)</f>
        <v>2</v>
      </c>
      <c r="AE129" s="225">
        <v>1887490.2199999997</v>
      </c>
      <c r="AF129" s="226">
        <v>0.99223201580009524</v>
      </c>
      <c r="AG129" s="225">
        <f>SUM(AG130:AG131)</f>
        <v>1887490.2199999997</v>
      </c>
      <c r="AH129" s="226">
        <f t="shared" si="70"/>
        <v>0.99223201580009524</v>
      </c>
      <c r="AI129" s="226">
        <f t="shared" si="64"/>
        <v>0</v>
      </c>
      <c r="AJ129" s="226">
        <f t="shared" si="60"/>
        <v>0</v>
      </c>
      <c r="AK129" s="225">
        <v>1887490.2199999997</v>
      </c>
      <c r="AL129" s="226">
        <v>0.99223201580009524</v>
      </c>
    </row>
    <row r="130" spans="1:38" ht="21" customHeight="1" x14ac:dyDescent="0.3">
      <c r="A130" s="255" t="s">
        <v>297</v>
      </c>
      <c r="B130" s="256" t="str">
        <f>VLOOKUP(A130,saīsinājumi_LV_ENG!A:G,5,FALSE)</f>
        <v>EURES tīkla darbība Latvijā</v>
      </c>
      <c r="C130" s="12" t="s">
        <v>198</v>
      </c>
      <c r="D130" s="44"/>
      <c r="E130" s="40" t="str">
        <f>Pasākumu_līmenis!D88</f>
        <v>ESF</v>
      </c>
      <c r="F130" s="40" t="str">
        <f>Pasākumu_līmenis!E88</f>
        <v>LM</v>
      </c>
      <c r="G130" s="279" t="str">
        <f>VLOOKUP(A130,'2. Intervences kategorijas - Pa'!B:D,2,FALSE)</f>
        <v>08 - Veicināt stabilas un kvalitatīvas darba vietas un atbalstīt darbaspēka mobilitāti</v>
      </c>
      <c r="H130" s="171">
        <f>Pasākumu_līmenis!F88</f>
        <v>711612</v>
      </c>
      <c r="I130" s="171">
        <f>Pasākumu_līmenis!G88</f>
        <v>0</v>
      </c>
      <c r="J130" s="171">
        <f>Pasākumu_līmenis!H88</f>
        <v>711612</v>
      </c>
      <c r="K130" s="171">
        <f>Pasākumu_līmenis!I88</f>
        <v>0</v>
      </c>
      <c r="L130" s="171">
        <f>Pasākumu_līmenis!J88</f>
        <v>703641.07</v>
      </c>
      <c r="M130" s="172">
        <f t="shared" si="65"/>
        <v>0.98879876955419521</v>
      </c>
      <c r="N130" s="172">
        <f t="shared" si="61"/>
        <v>0</v>
      </c>
      <c r="O130" s="172">
        <f t="shared" si="66"/>
        <v>0</v>
      </c>
      <c r="P130" s="171">
        <f>Pasākumu_līmenis!N88</f>
        <v>1</v>
      </c>
      <c r="Q130" s="171">
        <v>703641.07</v>
      </c>
      <c r="R130" s="172">
        <v>0.98879876955419521</v>
      </c>
      <c r="S130" s="171">
        <f>Pasākumu_līmenis!Q88</f>
        <v>703641.07</v>
      </c>
      <c r="T130" s="172">
        <f t="shared" si="67"/>
        <v>0.98879876955419521</v>
      </c>
      <c r="U130" s="172">
        <f t="shared" si="62"/>
        <v>0</v>
      </c>
      <c r="V130" s="172">
        <f t="shared" si="68"/>
        <v>0</v>
      </c>
      <c r="W130" s="171">
        <f>Pasākumu_līmenis!U88</f>
        <v>1</v>
      </c>
      <c r="X130" s="171">
        <v>703641.07</v>
      </c>
      <c r="Y130" s="172">
        <v>0.98879876955419521</v>
      </c>
      <c r="Z130" s="171">
        <f>Pasākumu_līmenis!X88</f>
        <v>703641.07</v>
      </c>
      <c r="AA130" s="172">
        <f t="shared" si="69"/>
        <v>0.98879876955419521</v>
      </c>
      <c r="AB130" s="172">
        <f t="shared" si="63"/>
        <v>0</v>
      </c>
      <c r="AC130" s="172">
        <f t="shared" si="59"/>
        <v>0</v>
      </c>
      <c r="AD130" s="171">
        <f>Pasākumu_līmenis!AB88</f>
        <v>1</v>
      </c>
      <c r="AE130" s="171">
        <v>703641.07</v>
      </c>
      <c r="AF130" s="172">
        <v>0.98879876955419521</v>
      </c>
      <c r="AG130" s="171">
        <f>Pasākumu_līmenis!AE88</f>
        <v>703641.07</v>
      </c>
      <c r="AH130" s="172">
        <f t="shared" si="70"/>
        <v>0.98879876955419521</v>
      </c>
      <c r="AI130" s="172">
        <f t="shared" si="64"/>
        <v>0</v>
      </c>
      <c r="AJ130" s="172">
        <f t="shared" si="60"/>
        <v>0</v>
      </c>
      <c r="AK130" s="171">
        <v>703641.07</v>
      </c>
      <c r="AL130" s="172">
        <v>0.98879876955419521</v>
      </c>
    </row>
    <row r="131" spans="1:38" ht="39.75" customHeight="1" x14ac:dyDescent="0.3">
      <c r="A131" s="255" t="s">
        <v>298</v>
      </c>
      <c r="B131" s="256" t="str">
        <f>VLOOKUP(A131,saīsinājumi_LV_ENG!A:G,5,FALSE)</f>
        <v xml:space="preserve">Darba tirgus prognozēšanas sistēmas pilnveide </v>
      </c>
      <c r="C131" s="12" t="s">
        <v>199</v>
      </c>
      <c r="D131" s="44"/>
      <c r="E131" s="40" t="str">
        <f>Pasākumu_līmenis!D89</f>
        <v>ESF</v>
      </c>
      <c r="F131" s="40" t="str">
        <f>Pasākumu_līmenis!E89</f>
        <v>LM</v>
      </c>
      <c r="G131" s="279" t="str">
        <f>VLOOKUP(A131,'2. Intervences kategorijas - Pa'!B:D,2,FALSE)</f>
        <v>08 - Veicināt stabilas un kvalitatīvas darba vietas un atbalstīt darbaspēka mobilitāti</v>
      </c>
      <c r="H131" s="171">
        <f>Pasākumu_līmenis!F89</f>
        <v>1190655</v>
      </c>
      <c r="I131" s="171">
        <f>Pasākumu_līmenis!G89</f>
        <v>0</v>
      </c>
      <c r="J131" s="171">
        <f>Pasākumu_līmenis!H89</f>
        <v>1190655</v>
      </c>
      <c r="K131" s="171">
        <f>Pasākumu_līmenis!I89</f>
        <v>0</v>
      </c>
      <c r="L131" s="171">
        <f>Pasākumu_līmenis!J89</f>
        <v>1183849.1499999999</v>
      </c>
      <c r="M131" s="172">
        <f t="shared" si="65"/>
        <v>0.99428394455152824</v>
      </c>
      <c r="N131" s="172">
        <f t="shared" si="61"/>
        <v>0</v>
      </c>
      <c r="O131" s="172">
        <f t="shared" si="66"/>
        <v>0</v>
      </c>
      <c r="P131" s="171">
        <f>Pasākumu_līmenis!N89</f>
        <v>1</v>
      </c>
      <c r="Q131" s="171">
        <v>1183849.1499999999</v>
      </c>
      <c r="R131" s="172">
        <v>0.99428394455152824</v>
      </c>
      <c r="S131" s="171">
        <f>Pasākumu_līmenis!Q89</f>
        <v>1183849.1499999999</v>
      </c>
      <c r="T131" s="172">
        <f t="shared" si="67"/>
        <v>0.99428394455152824</v>
      </c>
      <c r="U131" s="172">
        <f t="shared" si="62"/>
        <v>0</v>
      </c>
      <c r="V131" s="172">
        <f t="shared" si="68"/>
        <v>0</v>
      </c>
      <c r="W131" s="171">
        <f>Pasākumu_līmenis!U89</f>
        <v>1</v>
      </c>
      <c r="X131" s="171">
        <v>1183849.1499999999</v>
      </c>
      <c r="Y131" s="172">
        <v>0.99428394455152824</v>
      </c>
      <c r="Z131" s="171">
        <f>Pasākumu_līmenis!X89</f>
        <v>1183849.1499999999</v>
      </c>
      <c r="AA131" s="172">
        <f t="shared" si="69"/>
        <v>0.99428394455152824</v>
      </c>
      <c r="AB131" s="172">
        <f t="shared" si="63"/>
        <v>0</v>
      </c>
      <c r="AC131" s="172">
        <f t="shared" si="59"/>
        <v>0</v>
      </c>
      <c r="AD131" s="171">
        <f>Pasākumu_līmenis!AB89</f>
        <v>1</v>
      </c>
      <c r="AE131" s="171">
        <v>1183849.1499999999</v>
      </c>
      <c r="AF131" s="172">
        <v>0.99428394455152824</v>
      </c>
      <c r="AG131" s="171">
        <f>Pasākumu_līmenis!AE89</f>
        <v>1183849.1499999999</v>
      </c>
      <c r="AH131" s="172">
        <f t="shared" si="70"/>
        <v>0.99428394455152824</v>
      </c>
      <c r="AI131" s="172">
        <f t="shared" si="64"/>
        <v>0</v>
      </c>
      <c r="AJ131" s="172">
        <f t="shared" si="60"/>
        <v>0</v>
      </c>
      <c r="AK131" s="171">
        <v>1183849.1499999999</v>
      </c>
      <c r="AL131" s="172">
        <v>0.99428394455152824</v>
      </c>
    </row>
    <row r="132" spans="1:38" ht="21" customHeight="1" x14ac:dyDescent="0.3">
      <c r="A132" s="251" t="s">
        <v>88</v>
      </c>
      <c r="B132" s="252" t="str">
        <f>VLOOKUP(A132,saīsinājumi_LV_ENG!A:G,5,FALSE)</f>
        <v>Jauniešu integrācija darba tirgū</v>
      </c>
      <c r="C132" s="217" t="s">
        <v>379</v>
      </c>
      <c r="D132" s="218"/>
      <c r="E132" s="219"/>
      <c r="F132" s="219"/>
      <c r="G132" s="277"/>
      <c r="H132" s="220">
        <f>H133</f>
        <v>66818017</v>
      </c>
      <c r="I132" s="220">
        <f>I133</f>
        <v>0</v>
      </c>
      <c r="J132" s="220">
        <f>J133</f>
        <v>66818017</v>
      </c>
      <c r="K132" s="220">
        <f>K133</f>
        <v>1274049</v>
      </c>
      <c r="L132" s="220">
        <f>L133</f>
        <v>65778420.220000006</v>
      </c>
      <c r="M132" s="221">
        <f t="shared" si="65"/>
        <v>0.98444137035674084</v>
      </c>
      <c r="N132" s="221">
        <f t="shared" si="61"/>
        <v>0</v>
      </c>
      <c r="O132" s="221">
        <f t="shared" si="66"/>
        <v>0</v>
      </c>
      <c r="P132" s="220">
        <f>P133</f>
        <v>2</v>
      </c>
      <c r="Q132" s="220">
        <v>65778420.220000006</v>
      </c>
      <c r="R132" s="221">
        <v>0.98444137035674084</v>
      </c>
      <c r="S132" s="220">
        <f>S133</f>
        <v>65778420.220000006</v>
      </c>
      <c r="T132" s="221">
        <f t="shared" si="67"/>
        <v>0.98444137035674084</v>
      </c>
      <c r="U132" s="221">
        <f t="shared" si="62"/>
        <v>0</v>
      </c>
      <c r="V132" s="221">
        <f t="shared" si="68"/>
        <v>0</v>
      </c>
      <c r="W132" s="220">
        <f>W133</f>
        <v>2</v>
      </c>
      <c r="X132" s="220">
        <v>65778420.220000006</v>
      </c>
      <c r="Y132" s="221">
        <v>0.98444137035674084</v>
      </c>
      <c r="Z132" s="220">
        <f>Z133</f>
        <v>65778420.220000006</v>
      </c>
      <c r="AA132" s="221">
        <f t="shared" si="69"/>
        <v>0.98444137035674084</v>
      </c>
      <c r="AB132" s="221">
        <f t="shared" si="63"/>
        <v>0</v>
      </c>
      <c r="AC132" s="221">
        <f t="shared" si="59"/>
        <v>0</v>
      </c>
      <c r="AD132" s="220">
        <f>AD133</f>
        <v>2</v>
      </c>
      <c r="AE132" s="220">
        <v>65778420.220000006</v>
      </c>
      <c r="AF132" s="221">
        <v>0.98444137035674084</v>
      </c>
      <c r="AG132" s="220">
        <f>AG133</f>
        <v>65778420.220000006</v>
      </c>
      <c r="AH132" s="221">
        <f t="shared" si="70"/>
        <v>0.98444137035674084</v>
      </c>
      <c r="AI132" s="221">
        <f t="shared" si="64"/>
        <v>0</v>
      </c>
      <c r="AJ132" s="221">
        <f t="shared" si="60"/>
        <v>0</v>
      </c>
      <c r="AK132" s="220">
        <v>65778420.220000006</v>
      </c>
      <c r="AL132" s="221">
        <v>0.98444137035674084</v>
      </c>
    </row>
    <row r="133" spans="1:38" ht="21" customHeight="1" x14ac:dyDescent="0.3">
      <c r="A133" s="253" t="s">
        <v>444</v>
      </c>
      <c r="B133" s="254" t="str">
        <f>VLOOKUP(A133,saīsinājumi_LV_ENG!A:G,5,FALSE)</f>
        <v>Jauniešu garantijas</v>
      </c>
      <c r="C133" s="222" t="s">
        <v>93</v>
      </c>
      <c r="D133" s="223"/>
      <c r="E133" s="224"/>
      <c r="F133" s="224"/>
      <c r="G133" s="278"/>
      <c r="H133" s="225">
        <f>SUM(H134:H138)</f>
        <v>66818017</v>
      </c>
      <c r="I133" s="225">
        <f>SUM(I134:I138)</f>
        <v>0</v>
      </c>
      <c r="J133" s="225">
        <f>SUM(J134:J138)</f>
        <v>66818017</v>
      </c>
      <c r="K133" s="225">
        <f>SUM(K134:K138)</f>
        <v>1274049</v>
      </c>
      <c r="L133" s="225">
        <f>SUM(L134:L138)</f>
        <v>65778420.220000006</v>
      </c>
      <c r="M133" s="226">
        <f t="shared" si="65"/>
        <v>0.98444137035674084</v>
      </c>
      <c r="N133" s="226">
        <f t="shared" si="61"/>
        <v>0</v>
      </c>
      <c r="O133" s="226">
        <f t="shared" si="66"/>
        <v>0</v>
      </c>
      <c r="P133" s="225">
        <f>SUM(P134:P138)</f>
        <v>2</v>
      </c>
      <c r="Q133" s="225">
        <v>65778420.220000006</v>
      </c>
      <c r="R133" s="226">
        <v>0.98444137035674084</v>
      </c>
      <c r="S133" s="225">
        <f>SUM(S134:S138)</f>
        <v>65778420.220000006</v>
      </c>
      <c r="T133" s="226">
        <f t="shared" si="67"/>
        <v>0.98444137035674084</v>
      </c>
      <c r="U133" s="226">
        <f t="shared" si="62"/>
        <v>0</v>
      </c>
      <c r="V133" s="226">
        <f t="shared" si="68"/>
        <v>0</v>
      </c>
      <c r="W133" s="225">
        <f>SUM(W134:W138)</f>
        <v>2</v>
      </c>
      <c r="X133" s="225">
        <v>65778420.220000006</v>
      </c>
      <c r="Y133" s="226">
        <v>0.98444137035674084</v>
      </c>
      <c r="Z133" s="225">
        <f>SUM(Z134:Z138)</f>
        <v>65778420.220000006</v>
      </c>
      <c r="AA133" s="226">
        <f t="shared" si="69"/>
        <v>0.98444137035674084</v>
      </c>
      <c r="AB133" s="226">
        <f t="shared" si="63"/>
        <v>0</v>
      </c>
      <c r="AC133" s="226">
        <f t="shared" si="59"/>
        <v>0</v>
      </c>
      <c r="AD133" s="225">
        <f>SUM(AD134:AD138)</f>
        <v>2</v>
      </c>
      <c r="AE133" s="225">
        <v>65778420.220000006</v>
      </c>
      <c r="AF133" s="226">
        <v>0.98444137035674084</v>
      </c>
      <c r="AG133" s="225">
        <f>SUM(AG134:AG138)</f>
        <v>65778420.220000006</v>
      </c>
      <c r="AH133" s="226">
        <f t="shared" si="70"/>
        <v>0.98444137035674084</v>
      </c>
      <c r="AI133" s="226">
        <f t="shared" si="64"/>
        <v>0</v>
      </c>
      <c r="AJ133" s="226">
        <f t="shared" si="60"/>
        <v>0</v>
      </c>
      <c r="AK133" s="225">
        <v>65778420.220000006</v>
      </c>
      <c r="AL133" s="226">
        <v>0.98444137035674084</v>
      </c>
    </row>
    <row r="134" spans="1:38" ht="39.75" customHeight="1" x14ac:dyDescent="0.3">
      <c r="A134" s="255" t="s">
        <v>299</v>
      </c>
      <c r="B134" s="256" t="str">
        <f>VLOOKUP(A134,saīsinājumi_LV_ENG!A:G,5,FALSE)</f>
        <v>Jauniešu garantijas (aktīvās nodarbinātības pasākumi)</v>
      </c>
      <c r="C134" s="12" t="s">
        <v>200</v>
      </c>
      <c r="D134" s="44">
        <f ca="1">IFERROR(IF((VLOOKUP(A134,Pasākumu_līmenis!A:H,3,0))=0,"",VLOOKUP(A134,Pasākumu_līmenis!A:H,3,0)),"")</f>
        <v>1</v>
      </c>
      <c r="E134" s="40" t="str">
        <f>Pasākumu_līmenis!D90</f>
        <v>ESF</v>
      </c>
      <c r="F134" s="40" t="str">
        <f>Pasākumu_līmenis!E90</f>
        <v>LM</v>
      </c>
      <c r="G134" s="279" t="str">
        <f>VLOOKUP(A134,'2. Intervences kategorijas - Pa'!B:D,2,FALSE)</f>
        <v>08 - Veicināt stabilas un kvalitatīvas darba vietas un atbalstīt darbaspēka mobilitāti</v>
      </c>
      <c r="H134" s="171">
        <f>Pasākumu_līmenis!F90</f>
        <v>16606100</v>
      </c>
      <c r="I134" s="171">
        <f>Pasākumu_līmenis!G90</f>
        <v>0</v>
      </c>
      <c r="J134" s="171">
        <f>Pasākumu_līmenis!H90</f>
        <v>16606100</v>
      </c>
      <c r="K134" s="171">
        <f>Pasākumu_līmenis!I90</f>
        <v>0</v>
      </c>
      <c r="L134" s="171">
        <f>Pasākumu_līmenis!J90</f>
        <v>15996371.41</v>
      </c>
      <c r="M134" s="172">
        <f t="shared" si="65"/>
        <v>0.96328285449322837</v>
      </c>
      <c r="N134" s="172">
        <f t="shared" si="61"/>
        <v>0</v>
      </c>
      <c r="O134" s="172">
        <f t="shared" si="66"/>
        <v>0</v>
      </c>
      <c r="P134" s="171">
        <f>Pasākumu_līmenis!N90</f>
        <v>0</v>
      </c>
      <c r="Q134" s="171">
        <v>15996371.41</v>
      </c>
      <c r="R134" s="172">
        <v>0.96328285449322837</v>
      </c>
      <c r="S134" s="171">
        <f>Pasākumu_līmenis!Q90</f>
        <v>15996371.41</v>
      </c>
      <c r="T134" s="172">
        <f t="shared" si="67"/>
        <v>0.96328285449322837</v>
      </c>
      <c r="U134" s="172">
        <f t="shared" si="62"/>
        <v>0</v>
      </c>
      <c r="V134" s="172">
        <f t="shared" si="68"/>
        <v>0</v>
      </c>
      <c r="W134" s="171">
        <f>Pasākumu_līmenis!U90</f>
        <v>0</v>
      </c>
      <c r="X134" s="171">
        <v>15996371.41</v>
      </c>
      <c r="Y134" s="172">
        <v>0.96328285449322837</v>
      </c>
      <c r="Z134" s="171">
        <f>Pasākumu_līmenis!X90</f>
        <v>15996371.41</v>
      </c>
      <c r="AA134" s="172">
        <f t="shared" si="69"/>
        <v>0.96328285449322837</v>
      </c>
      <c r="AB134" s="172">
        <f t="shared" si="63"/>
        <v>0</v>
      </c>
      <c r="AC134" s="172">
        <f t="shared" si="59"/>
        <v>0</v>
      </c>
      <c r="AD134" s="171">
        <f>Pasākumu_līmenis!AB90</f>
        <v>0</v>
      </c>
      <c r="AE134" s="171">
        <v>15996371.41</v>
      </c>
      <c r="AF134" s="172">
        <v>0.96328285449322837</v>
      </c>
      <c r="AG134" s="171">
        <f>Pasākumu_līmenis!AE90</f>
        <v>15996371.41</v>
      </c>
      <c r="AH134" s="172">
        <f t="shared" si="70"/>
        <v>0.96328285449322837</v>
      </c>
      <c r="AI134" s="172">
        <f t="shared" si="64"/>
        <v>0</v>
      </c>
      <c r="AJ134" s="172">
        <f t="shared" si="60"/>
        <v>0</v>
      </c>
      <c r="AK134" s="171">
        <v>15996371.41</v>
      </c>
      <c r="AL134" s="172">
        <v>0.96328285449322837</v>
      </c>
    </row>
    <row r="135" spans="1:38" s="100" customFormat="1" ht="39.75" customHeight="1" x14ac:dyDescent="0.3">
      <c r="A135" s="262" t="s">
        <v>299</v>
      </c>
      <c r="B135" s="263" t="str">
        <f>VLOOKUP(A135,saīsinājumi_LV_ENG!A:G,5,FALSE)</f>
        <v>Jauniešu garantijas (aktīvās nodarbinātības pasākumi)</v>
      </c>
      <c r="C135" s="135" t="s">
        <v>361</v>
      </c>
      <c r="D135" s="44">
        <f ca="1">IFERROR(IF((VLOOKUP(A135,Pasākumu_līmenis!A:H,3,0))=0,"",VLOOKUP(A135,Pasākumu_līmenis!A:H,3,0)),"")</f>
        <v>1</v>
      </c>
      <c r="E135" s="43" t="str">
        <f>Pasākumu_līmenis!D91</f>
        <v>JNI</v>
      </c>
      <c r="F135" s="43" t="str">
        <f>Pasākumu_līmenis!E91</f>
        <v>LM</v>
      </c>
      <c r="G135" s="284" t="str">
        <f>VLOOKUP(A135,'2. Intervences kategorijas - Pa'!B:D,2,FALSE)</f>
        <v>08 - Veicināt stabilas un kvalitatīvas darba vietas un atbalstīt darbaspēka mobilitāti</v>
      </c>
      <c r="H135" s="180">
        <f>Pasākumu_līmenis!F91</f>
        <v>15186315</v>
      </c>
      <c r="I135" s="180">
        <f>Pasākumu_līmenis!G91</f>
        <v>0</v>
      </c>
      <c r="J135" s="180">
        <f>Pasākumu_līmenis!H91</f>
        <v>15186315</v>
      </c>
      <c r="K135" s="180">
        <f>Pasākumu_līmenis!I91</f>
        <v>0</v>
      </c>
      <c r="L135" s="180">
        <f>Pasākumu_līmenis!J91</f>
        <v>15796042.16</v>
      </c>
      <c r="M135" s="181">
        <f t="shared" si="65"/>
        <v>1.0401497769537904</v>
      </c>
      <c r="N135" s="181">
        <f t="shared" si="61"/>
        <v>0</v>
      </c>
      <c r="O135" s="181">
        <f t="shared" si="66"/>
        <v>0</v>
      </c>
      <c r="P135" s="180">
        <f>Pasākumu_līmenis!N91</f>
        <v>1</v>
      </c>
      <c r="Q135" s="180">
        <v>15796042.16</v>
      </c>
      <c r="R135" s="181">
        <v>1.0401497769537904</v>
      </c>
      <c r="S135" s="180">
        <f>Pasākumu_līmenis!Q91</f>
        <v>15796042.16</v>
      </c>
      <c r="T135" s="181">
        <f t="shared" si="67"/>
        <v>1.0401497769537904</v>
      </c>
      <c r="U135" s="181">
        <f t="shared" si="62"/>
        <v>0</v>
      </c>
      <c r="V135" s="181">
        <f t="shared" si="68"/>
        <v>0</v>
      </c>
      <c r="W135" s="180">
        <f>Pasākumu_līmenis!U91</f>
        <v>1</v>
      </c>
      <c r="X135" s="180">
        <v>15796042.16</v>
      </c>
      <c r="Y135" s="181">
        <v>1.0401497769537904</v>
      </c>
      <c r="Z135" s="180">
        <f>Pasākumu_līmenis!X91</f>
        <v>15796042.16</v>
      </c>
      <c r="AA135" s="181">
        <f t="shared" si="69"/>
        <v>1.0401497769537904</v>
      </c>
      <c r="AB135" s="181">
        <f t="shared" si="63"/>
        <v>0</v>
      </c>
      <c r="AC135" s="181">
        <f t="shared" si="59"/>
        <v>0</v>
      </c>
      <c r="AD135" s="180">
        <f>Pasākumu_līmenis!AB91</f>
        <v>1</v>
      </c>
      <c r="AE135" s="180">
        <v>15796042.16</v>
      </c>
      <c r="AF135" s="181">
        <v>1.0401497769537904</v>
      </c>
      <c r="AG135" s="180">
        <f>Pasākumu_līmenis!AE91</f>
        <v>15796042.16</v>
      </c>
      <c r="AH135" s="181">
        <f t="shared" si="70"/>
        <v>1.0401497769537904</v>
      </c>
      <c r="AI135" s="181">
        <f t="shared" si="64"/>
        <v>0</v>
      </c>
      <c r="AJ135" s="181">
        <f t="shared" si="60"/>
        <v>0</v>
      </c>
      <c r="AK135" s="180">
        <v>15796042.16</v>
      </c>
      <c r="AL135" s="181">
        <v>1.0401497769537904</v>
      </c>
    </row>
    <row r="136" spans="1:38" ht="39.75" customHeight="1" x14ac:dyDescent="0.3">
      <c r="A136" s="255" t="s">
        <v>300</v>
      </c>
      <c r="B136" s="256" t="str">
        <f>VLOOKUP(A136,saīsinājumi_LV_ENG!A:G,5,FALSE)</f>
        <v>Jauniešu garantijas (profesionālās izglītības pasākumi)</v>
      </c>
      <c r="C136" s="12" t="s">
        <v>201</v>
      </c>
      <c r="D136" s="44">
        <f ca="1">IFERROR(IF((VLOOKUP(A136,Pasākumu_līmenis!A:H,3,0))=0,"",VLOOKUP(A136,Pasākumu_līmenis!A:H,3,0)),"")</f>
        <v>1</v>
      </c>
      <c r="E136" s="40" t="str">
        <f>Pasākumu_līmenis!D92</f>
        <v>ESF</v>
      </c>
      <c r="F136" s="40" t="str">
        <f>Pasākumu_līmenis!E92</f>
        <v>LM</v>
      </c>
      <c r="G136" s="279" t="str">
        <f>VLOOKUP(A136,'2. Intervences kategorijas - Pa'!B:D,2,FALSE)</f>
        <v>08 - Veicināt stabilas un kvalitatīvas darba vietas un atbalstīt darbaspēka mobilitāti</v>
      </c>
      <c r="H136" s="171">
        <f>Pasākumu_līmenis!F92</f>
        <v>21201278</v>
      </c>
      <c r="I136" s="171">
        <f>Pasākumu_līmenis!G92</f>
        <v>0</v>
      </c>
      <c r="J136" s="171">
        <f>Pasākumu_līmenis!H92</f>
        <v>21201278</v>
      </c>
      <c r="K136" s="171">
        <f>Pasākumu_līmenis!I92</f>
        <v>0</v>
      </c>
      <c r="L136" s="171">
        <f>Pasākumu_līmenis!J92</f>
        <v>20971645.190000001</v>
      </c>
      <c r="M136" s="172">
        <f t="shared" si="65"/>
        <v>0.98916891660964967</v>
      </c>
      <c r="N136" s="172">
        <f t="shared" si="61"/>
        <v>0</v>
      </c>
      <c r="O136" s="172">
        <f t="shared" si="66"/>
        <v>0</v>
      </c>
      <c r="P136" s="171">
        <f>Pasākumu_līmenis!N92</f>
        <v>0</v>
      </c>
      <c r="Q136" s="171">
        <v>20971645.190000001</v>
      </c>
      <c r="R136" s="172">
        <v>0.98916891660964967</v>
      </c>
      <c r="S136" s="171">
        <f>Pasākumu_līmenis!Q92</f>
        <v>20971645.190000001</v>
      </c>
      <c r="T136" s="172">
        <f t="shared" si="67"/>
        <v>0.98916891660964967</v>
      </c>
      <c r="U136" s="172">
        <f t="shared" si="62"/>
        <v>0</v>
      </c>
      <c r="V136" s="172">
        <f t="shared" si="68"/>
        <v>0</v>
      </c>
      <c r="W136" s="171">
        <f>Pasākumu_līmenis!U92</f>
        <v>0</v>
      </c>
      <c r="X136" s="171">
        <v>20971645.190000001</v>
      </c>
      <c r="Y136" s="172">
        <v>0.98916891660964967</v>
      </c>
      <c r="Z136" s="171">
        <f>Pasākumu_līmenis!X92</f>
        <v>20971645.190000001</v>
      </c>
      <c r="AA136" s="172">
        <f t="shared" si="69"/>
        <v>0.98916891660964967</v>
      </c>
      <c r="AB136" s="172">
        <f t="shared" si="63"/>
        <v>0</v>
      </c>
      <c r="AC136" s="172">
        <f t="shared" si="59"/>
        <v>0</v>
      </c>
      <c r="AD136" s="171">
        <f>Pasākumu_līmenis!AB92</f>
        <v>0</v>
      </c>
      <c r="AE136" s="171">
        <v>20971645.190000001</v>
      </c>
      <c r="AF136" s="172">
        <v>0.98916891660964967</v>
      </c>
      <c r="AG136" s="171">
        <f>Pasākumu_līmenis!AE92</f>
        <v>20971645.190000001</v>
      </c>
      <c r="AH136" s="172">
        <f t="shared" si="70"/>
        <v>0.98916891660964967</v>
      </c>
      <c r="AI136" s="172">
        <f t="shared" si="64"/>
        <v>0</v>
      </c>
      <c r="AJ136" s="172">
        <f t="shared" si="60"/>
        <v>0</v>
      </c>
      <c r="AK136" s="171">
        <v>20971645.190000001</v>
      </c>
      <c r="AL136" s="172">
        <v>0.98916891660964967</v>
      </c>
    </row>
    <row r="137" spans="1:38" s="100" customFormat="1" ht="39.75" customHeight="1" x14ac:dyDescent="0.3">
      <c r="A137" s="262" t="s">
        <v>300</v>
      </c>
      <c r="B137" s="263" t="str">
        <f>VLOOKUP(A137,saīsinājumi_LV_ENG!A:G,5,FALSE)</f>
        <v>Jauniešu garantijas (profesionālās izglītības pasākumi)</v>
      </c>
      <c r="C137" s="135" t="s">
        <v>362</v>
      </c>
      <c r="D137" s="44">
        <f ca="1">IFERROR(IF((VLOOKUP(A137,Pasākumu_līmenis!A:H,3,0))=0,"",VLOOKUP(A137,Pasākumu_līmenis!A:H,3,0)),"")</f>
        <v>1</v>
      </c>
      <c r="E137" s="43" t="str">
        <f>Pasākumu_līmenis!D93</f>
        <v>JNI</v>
      </c>
      <c r="F137" s="43" t="str">
        <f>Pasākumu_līmenis!E93</f>
        <v>LM</v>
      </c>
      <c r="G137" s="284" t="str">
        <f>VLOOKUP(A137,'2. Intervences kategorijas - Pa'!B:D,2,FALSE)</f>
        <v>08 - Veicināt stabilas un kvalitatīvas darba vietas un atbalstīt darbaspēka mobilitāti</v>
      </c>
      <c r="H137" s="180">
        <f>Pasākumu_līmenis!F93</f>
        <v>13824324</v>
      </c>
      <c r="I137" s="180">
        <f>Pasākumu_līmenis!G93</f>
        <v>0</v>
      </c>
      <c r="J137" s="180">
        <f>Pasākumu_līmenis!H93</f>
        <v>13824324</v>
      </c>
      <c r="K137" s="180">
        <f>Pasākumu_līmenis!I93</f>
        <v>0</v>
      </c>
      <c r="L137" s="180">
        <f>Pasākumu_līmenis!J93</f>
        <v>13014361.460000001</v>
      </c>
      <c r="M137" s="181">
        <f t="shared" si="65"/>
        <v>0.94141033297541354</v>
      </c>
      <c r="N137" s="181">
        <f t="shared" si="61"/>
        <v>0</v>
      </c>
      <c r="O137" s="181">
        <f t="shared" si="66"/>
        <v>0</v>
      </c>
      <c r="P137" s="180">
        <f>Pasākumu_līmenis!N93</f>
        <v>1</v>
      </c>
      <c r="Q137" s="180">
        <v>13014361.460000001</v>
      </c>
      <c r="R137" s="181">
        <v>0.94141033297541354</v>
      </c>
      <c r="S137" s="180">
        <f>Pasākumu_līmenis!Q93</f>
        <v>13014361.460000001</v>
      </c>
      <c r="T137" s="181">
        <f t="shared" si="67"/>
        <v>0.94141033297541354</v>
      </c>
      <c r="U137" s="181">
        <f t="shared" si="62"/>
        <v>0</v>
      </c>
      <c r="V137" s="181">
        <f t="shared" si="68"/>
        <v>0</v>
      </c>
      <c r="W137" s="180">
        <f>Pasākumu_līmenis!U93</f>
        <v>1</v>
      </c>
      <c r="X137" s="180">
        <v>13014361.460000001</v>
      </c>
      <c r="Y137" s="181">
        <v>0.94141033297541354</v>
      </c>
      <c r="Z137" s="180">
        <f>Pasākumu_līmenis!X93</f>
        <v>13014361.460000001</v>
      </c>
      <c r="AA137" s="181">
        <f t="shared" si="69"/>
        <v>0.94141033297541354</v>
      </c>
      <c r="AB137" s="181">
        <f t="shared" si="63"/>
        <v>0</v>
      </c>
      <c r="AC137" s="181">
        <f t="shared" si="59"/>
        <v>0</v>
      </c>
      <c r="AD137" s="180">
        <f>Pasākumu_līmenis!AB93</f>
        <v>1</v>
      </c>
      <c r="AE137" s="180">
        <v>13014361.460000001</v>
      </c>
      <c r="AF137" s="181">
        <v>0.94141033297541354</v>
      </c>
      <c r="AG137" s="180">
        <f>Pasākumu_līmenis!AE93</f>
        <v>13014361.460000001</v>
      </c>
      <c r="AH137" s="181">
        <f t="shared" si="70"/>
        <v>0.94141033297541354</v>
      </c>
      <c r="AI137" s="181">
        <f t="shared" si="64"/>
        <v>0</v>
      </c>
      <c r="AJ137" s="181">
        <f t="shared" si="60"/>
        <v>0</v>
      </c>
      <c r="AK137" s="180">
        <v>13014361.460000001</v>
      </c>
      <c r="AL137" s="181">
        <v>0.94141033297541354</v>
      </c>
    </row>
    <row r="138" spans="1:38" ht="60.75" customHeight="1" x14ac:dyDescent="0.3">
      <c r="A138" s="255" t="s">
        <v>301</v>
      </c>
      <c r="B138" s="256" t="s">
        <v>1003</v>
      </c>
      <c r="C138" s="12" t="s">
        <v>202</v>
      </c>
      <c r="D138" s="44"/>
      <c r="E138" s="40" t="str">
        <f>Pasākumu_līmenis!D94</f>
        <v>ESF</v>
      </c>
      <c r="F138" s="40" t="str">
        <f>Pasākumu_līmenis!E94</f>
        <v>LM</v>
      </c>
      <c r="G138" s="279" t="str">
        <f>VLOOKUP(A138,'2. Intervences kategorijas - Pa'!B:D,2,FALSE)</f>
        <v>08 - Veicināt stabilas un kvalitatīvas darba vietas un atbalstīt darbaspēka mobilitāti</v>
      </c>
      <c r="H138" s="171">
        <f>Pasākumu_līmenis!F94</f>
        <v>0</v>
      </c>
      <c r="I138" s="171">
        <f>Pasākumu_līmenis!G94</f>
        <v>0</v>
      </c>
      <c r="J138" s="171">
        <f>Pasākumu_līmenis!H94</f>
        <v>0</v>
      </c>
      <c r="K138" s="171">
        <f>Pasākumu_līmenis!I94</f>
        <v>1274049</v>
      </c>
      <c r="L138" s="171">
        <f>Pasākumu_līmenis!J94</f>
        <v>0</v>
      </c>
      <c r="M138" s="172">
        <f>IFERROR(L138/$H138,0)</f>
        <v>0</v>
      </c>
      <c r="N138" s="172">
        <f t="shared" si="61"/>
        <v>0</v>
      </c>
      <c r="O138" s="172">
        <f t="shared" si="66"/>
        <v>0</v>
      </c>
      <c r="P138" s="171">
        <f>Pasākumu_līmenis!N94</f>
        <v>0</v>
      </c>
      <c r="Q138" s="171">
        <v>0</v>
      </c>
      <c r="R138" s="172">
        <v>0</v>
      </c>
      <c r="S138" s="171">
        <f>Pasākumu_līmenis!Q94</f>
        <v>0</v>
      </c>
      <c r="T138" s="172">
        <f>IFERROR(S138/$H138,0)</f>
        <v>0</v>
      </c>
      <c r="U138" s="172">
        <f t="shared" si="62"/>
        <v>0</v>
      </c>
      <c r="V138" s="172">
        <f t="shared" si="68"/>
        <v>0</v>
      </c>
      <c r="W138" s="171">
        <f>Pasākumu_līmenis!U94</f>
        <v>0</v>
      </c>
      <c r="X138" s="171">
        <v>0</v>
      </c>
      <c r="Y138" s="172">
        <v>0</v>
      </c>
      <c r="Z138" s="171">
        <f>Pasākumu_līmenis!X94</f>
        <v>0</v>
      </c>
      <c r="AA138" s="172">
        <f>IFERROR(Z138/$H138,0)</f>
        <v>0</v>
      </c>
      <c r="AB138" s="172">
        <f t="shared" si="63"/>
        <v>0</v>
      </c>
      <c r="AC138" s="172">
        <f t="shared" si="59"/>
        <v>0</v>
      </c>
      <c r="AD138" s="171">
        <f>Pasākumu_līmenis!AB94</f>
        <v>0</v>
      </c>
      <c r="AE138" s="171">
        <v>0</v>
      </c>
      <c r="AF138" s="172">
        <v>0</v>
      </c>
      <c r="AG138" s="171">
        <f>Pasākumu_līmenis!AE94</f>
        <v>0</v>
      </c>
      <c r="AH138" s="172">
        <f>IFERROR(AG138/$H138,0)</f>
        <v>0</v>
      </c>
      <c r="AI138" s="172">
        <f t="shared" si="64"/>
        <v>0</v>
      </c>
      <c r="AJ138" s="172">
        <f t="shared" si="60"/>
        <v>0</v>
      </c>
      <c r="AK138" s="171">
        <v>0</v>
      </c>
      <c r="AL138" s="172">
        <v>0</v>
      </c>
    </row>
    <row r="139" spans="1:38" ht="39.75" customHeight="1" x14ac:dyDescent="0.3">
      <c r="A139" s="251" t="s">
        <v>89</v>
      </c>
      <c r="B139" s="252" t="str">
        <f>VLOOKUP(A139,saīsinājumi_LV_ENG!A:G,5,FALSE)</f>
        <v>Nodarbināto, uzņēmumu pielāgošanās pārmaiņām</v>
      </c>
      <c r="C139" s="217" t="s">
        <v>94</v>
      </c>
      <c r="D139" s="218"/>
      <c r="E139" s="219"/>
      <c r="F139" s="219"/>
      <c r="G139" s="277"/>
      <c r="H139" s="220">
        <f>H140+H141</f>
        <v>7422751</v>
      </c>
      <c r="I139" s="220">
        <f>I140+I141</f>
        <v>0</v>
      </c>
      <c r="J139" s="220">
        <f>J140+J141</f>
        <v>7422751</v>
      </c>
      <c r="K139" s="220">
        <f>K140+K141</f>
        <v>0</v>
      </c>
      <c r="L139" s="220">
        <f>L140+L141</f>
        <v>7110156.4299999997</v>
      </c>
      <c r="M139" s="221">
        <f t="shared" si="65"/>
        <v>0.95788696535826134</v>
      </c>
      <c r="N139" s="221">
        <f t="shared" si="61"/>
        <v>0</v>
      </c>
      <c r="O139" s="221">
        <f t="shared" si="66"/>
        <v>0</v>
      </c>
      <c r="P139" s="220">
        <f>P140+P141</f>
        <v>2</v>
      </c>
      <c r="Q139" s="220">
        <v>7110156.4299999997</v>
      </c>
      <c r="R139" s="221">
        <v>0.95788696535826134</v>
      </c>
      <c r="S139" s="220">
        <f>S140+S141</f>
        <v>7110156.4299999997</v>
      </c>
      <c r="T139" s="221">
        <f t="shared" si="67"/>
        <v>0.95788696535826134</v>
      </c>
      <c r="U139" s="221">
        <f t="shared" si="62"/>
        <v>0</v>
      </c>
      <c r="V139" s="221">
        <f t="shared" si="68"/>
        <v>0</v>
      </c>
      <c r="W139" s="220">
        <f>W140+W141</f>
        <v>2</v>
      </c>
      <c r="X139" s="220">
        <v>7110156.4299999997</v>
      </c>
      <c r="Y139" s="221">
        <v>0.95788696535826134</v>
      </c>
      <c r="Z139" s="220">
        <f>Z140+Z141</f>
        <v>7110156.4299999997</v>
      </c>
      <c r="AA139" s="221">
        <f t="shared" si="69"/>
        <v>0.95788696535826134</v>
      </c>
      <c r="AB139" s="221">
        <f t="shared" si="63"/>
        <v>0</v>
      </c>
      <c r="AC139" s="221">
        <f t="shared" si="59"/>
        <v>0</v>
      </c>
      <c r="AD139" s="220">
        <f>AD140+AD141</f>
        <v>2</v>
      </c>
      <c r="AE139" s="220">
        <v>7110156.4299999997</v>
      </c>
      <c r="AF139" s="221">
        <v>0.95788696535826134</v>
      </c>
      <c r="AG139" s="220">
        <f>AG140+AG141</f>
        <v>7110156.4299999997</v>
      </c>
      <c r="AH139" s="221">
        <f t="shared" si="70"/>
        <v>0.95788696535826134</v>
      </c>
      <c r="AI139" s="221">
        <f t="shared" si="64"/>
        <v>0</v>
      </c>
      <c r="AJ139" s="221">
        <f t="shared" si="60"/>
        <v>0</v>
      </c>
      <c r="AK139" s="220">
        <v>7110156.4299999997</v>
      </c>
      <c r="AL139" s="221">
        <v>0.95788696535826134</v>
      </c>
    </row>
    <row r="140" spans="1:38" ht="21" customHeight="1" x14ac:dyDescent="0.3">
      <c r="A140" s="257" t="s">
        <v>302</v>
      </c>
      <c r="B140" s="256" t="str">
        <f>VLOOKUP(A140,saīsinājumi_LV_ENG!A:G,5,FALSE)</f>
        <v>Darba drošības uzlabošana</v>
      </c>
      <c r="C140" s="12" t="s">
        <v>95</v>
      </c>
      <c r="D140" s="12"/>
      <c r="E140" s="40" t="str">
        <f>Pasākumu_līmenis!D95</f>
        <v>ESF</v>
      </c>
      <c r="F140" s="40" t="str">
        <f>Pasākumu_līmenis!E95</f>
        <v>LM</v>
      </c>
      <c r="G140" s="279" t="str">
        <f>VLOOKUP(A140,'2. Intervences kategorijas - Pa'!B:D,2,FALSE)</f>
        <v>08 - Veicināt stabilas un kvalitatīvas darba vietas un atbalstīt darbaspēka mobilitāti</v>
      </c>
      <c r="H140" s="171">
        <f>Pasākumu_līmenis!F95</f>
        <v>5856035</v>
      </c>
      <c r="I140" s="171">
        <f>Pasākumu_līmenis!G95</f>
        <v>0</v>
      </c>
      <c r="J140" s="171">
        <f>Pasākumu_līmenis!H95</f>
        <v>5856035</v>
      </c>
      <c r="K140" s="171">
        <f>Pasākumu_līmenis!I95</f>
        <v>0</v>
      </c>
      <c r="L140" s="171">
        <f>Pasākumu_līmenis!J95</f>
        <v>5543441.2199999997</v>
      </c>
      <c r="M140" s="172">
        <f t="shared" si="65"/>
        <v>0.94662023365639036</v>
      </c>
      <c r="N140" s="172">
        <f t="shared" si="61"/>
        <v>0</v>
      </c>
      <c r="O140" s="172">
        <f t="shared" si="66"/>
        <v>0</v>
      </c>
      <c r="P140" s="171">
        <f>Pasākumu_līmenis!N95</f>
        <v>1</v>
      </c>
      <c r="Q140" s="171">
        <v>5543441.2199999997</v>
      </c>
      <c r="R140" s="172">
        <v>0.94662023365639036</v>
      </c>
      <c r="S140" s="171">
        <f>Pasākumu_līmenis!Q95</f>
        <v>5543441.2199999997</v>
      </c>
      <c r="T140" s="172">
        <f t="shared" si="67"/>
        <v>0.94662023365639036</v>
      </c>
      <c r="U140" s="172">
        <f t="shared" si="62"/>
        <v>0</v>
      </c>
      <c r="V140" s="172">
        <f t="shared" si="68"/>
        <v>0</v>
      </c>
      <c r="W140" s="171">
        <f>Pasākumu_līmenis!U95</f>
        <v>1</v>
      </c>
      <c r="X140" s="171">
        <v>5543441.2199999997</v>
      </c>
      <c r="Y140" s="172">
        <v>0.94662023365639036</v>
      </c>
      <c r="Z140" s="171">
        <f>Pasākumu_līmenis!X95</f>
        <v>5543441.2199999997</v>
      </c>
      <c r="AA140" s="172">
        <f t="shared" si="69"/>
        <v>0.94662023365639036</v>
      </c>
      <c r="AB140" s="172">
        <f t="shared" si="63"/>
        <v>0</v>
      </c>
      <c r="AC140" s="172">
        <f t="shared" si="59"/>
        <v>0</v>
      </c>
      <c r="AD140" s="171">
        <f>Pasākumu_līmenis!AB95</f>
        <v>1</v>
      </c>
      <c r="AE140" s="171">
        <v>5543441.2199999997</v>
      </c>
      <c r="AF140" s="172">
        <v>0.94662023365639036</v>
      </c>
      <c r="AG140" s="171">
        <f>Pasākumu_līmenis!AE95</f>
        <v>5543441.2199999997</v>
      </c>
      <c r="AH140" s="172">
        <f t="shared" si="70"/>
        <v>0.94662023365639036</v>
      </c>
      <c r="AI140" s="172">
        <f t="shared" si="64"/>
        <v>0</v>
      </c>
      <c r="AJ140" s="172">
        <f t="shared" si="60"/>
        <v>0</v>
      </c>
      <c r="AK140" s="171">
        <v>5543441.2199999997</v>
      </c>
      <c r="AL140" s="172">
        <v>0.94662023365639036</v>
      </c>
    </row>
    <row r="141" spans="1:38" ht="39.75" customHeight="1" x14ac:dyDescent="0.3">
      <c r="A141" s="257" t="s">
        <v>303</v>
      </c>
      <c r="B141" s="256" t="str">
        <f>VLOOKUP(A141,saīsinājumi_LV_ENG!A:G,5,FALSE)</f>
        <v>Gados vecāku nodarbināto darbspēju uzlabošana</v>
      </c>
      <c r="C141" s="12" t="s">
        <v>96</v>
      </c>
      <c r="D141" s="12"/>
      <c r="E141" s="40" t="str">
        <f>Pasākumu_līmenis!D96</f>
        <v>ESF</v>
      </c>
      <c r="F141" s="40" t="str">
        <f>Pasākumu_līmenis!E96</f>
        <v>LM</v>
      </c>
      <c r="G141" s="279" t="str">
        <f>VLOOKUP(A141,'2. Intervences kategorijas - Pa'!B:D,2,FALSE)</f>
        <v>08 - Veicināt stabilas un kvalitatīvas darba vietas un atbalstīt darbaspēka mobilitāti</v>
      </c>
      <c r="H141" s="171">
        <f>Pasākumu_līmenis!F96</f>
        <v>1566716</v>
      </c>
      <c r="I141" s="171">
        <f>Pasākumu_līmenis!G96</f>
        <v>0</v>
      </c>
      <c r="J141" s="171">
        <f>Pasākumu_līmenis!H96</f>
        <v>1566716</v>
      </c>
      <c r="K141" s="171">
        <f>Pasākumu_līmenis!I96</f>
        <v>0</v>
      </c>
      <c r="L141" s="171">
        <f>Pasākumu_līmenis!J96</f>
        <v>1566715.21</v>
      </c>
      <c r="M141" s="172">
        <f t="shared" si="65"/>
        <v>0.99999949576055902</v>
      </c>
      <c r="N141" s="172">
        <f t="shared" si="61"/>
        <v>0</v>
      </c>
      <c r="O141" s="172">
        <f t="shared" si="66"/>
        <v>0</v>
      </c>
      <c r="P141" s="171">
        <f>Pasākumu_līmenis!N96</f>
        <v>1</v>
      </c>
      <c r="Q141" s="171">
        <v>1566715.21</v>
      </c>
      <c r="R141" s="172">
        <v>0.99999949576055902</v>
      </c>
      <c r="S141" s="171">
        <f>Pasākumu_līmenis!Q96</f>
        <v>1566715.21</v>
      </c>
      <c r="T141" s="172">
        <f t="shared" si="67"/>
        <v>0.99999949576055902</v>
      </c>
      <c r="U141" s="172">
        <f t="shared" si="62"/>
        <v>0</v>
      </c>
      <c r="V141" s="172">
        <f t="shared" si="68"/>
        <v>0</v>
      </c>
      <c r="W141" s="171">
        <f>Pasākumu_līmenis!U96</f>
        <v>1</v>
      </c>
      <c r="X141" s="171">
        <v>1566715.21</v>
      </c>
      <c r="Y141" s="172">
        <v>0.99999949576055902</v>
      </c>
      <c r="Z141" s="171">
        <f>Pasākumu_līmenis!X96</f>
        <v>1566715.21</v>
      </c>
      <c r="AA141" s="172">
        <f t="shared" si="69"/>
        <v>0.99999949576055902</v>
      </c>
      <c r="AB141" s="172">
        <f t="shared" si="63"/>
        <v>0</v>
      </c>
      <c r="AC141" s="172">
        <f t="shared" si="59"/>
        <v>0</v>
      </c>
      <c r="AD141" s="171">
        <f>Pasākumu_līmenis!AB96</f>
        <v>1</v>
      </c>
      <c r="AE141" s="171">
        <v>1566715.21</v>
      </c>
      <c r="AF141" s="172">
        <v>0.99999949576055902</v>
      </c>
      <c r="AG141" s="171">
        <f>Pasākumu_līmenis!AE96</f>
        <v>1566715.21</v>
      </c>
      <c r="AH141" s="172">
        <f t="shared" si="70"/>
        <v>0.99999949576055902</v>
      </c>
      <c r="AI141" s="172">
        <f t="shared" si="64"/>
        <v>0</v>
      </c>
      <c r="AJ141" s="172">
        <f t="shared" si="60"/>
        <v>0</v>
      </c>
      <c r="AK141" s="171">
        <v>1566715.21</v>
      </c>
      <c r="AL141" s="172">
        <v>0.99999949576055902</v>
      </c>
    </row>
    <row r="142" spans="1:38" ht="36" customHeight="1" x14ac:dyDescent="0.3">
      <c r="A142" s="249" t="s">
        <v>97</v>
      </c>
      <c r="B142" s="250" t="str">
        <f>VLOOKUP(A142,saīsinājumi_LV_ENG!A:G,5,FALSE)</f>
        <v>Izglītība</v>
      </c>
      <c r="C142" s="10" t="s">
        <v>98</v>
      </c>
      <c r="D142" s="227"/>
      <c r="E142" s="68"/>
      <c r="F142" s="68"/>
      <c r="G142" s="281"/>
      <c r="H142" s="228">
        <f>H143+H148+H153+H166+H168</f>
        <v>523940298</v>
      </c>
      <c r="I142" s="228">
        <f>I143+I148+I153+I166+I168</f>
        <v>5607771</v>
      </c>
      <c r="J142" s="228">
        <f>J143+J148+J153+J166+J168</f>
        <v>529548069</v>
      </c>
      <c r="K142" s="228">
        <f>K143+K148+K153+K166+K168</f>
        <v>23439111.242077023</v>
      </c>
      <c r="L142" s="228">
        <f>L143+L148+L153+L166+L168</f>
        <v>519683965.81999999</v>
      </c>
      <c r="M142" s="229">
        <f t="shared" si="65"/>
        <v>0.99187630308978447</v>
      </c>
      <c r="N142" s="229">
        <f t="shared" si="61"/>
        <v>0</v>
      </c>
      <c r="O142" s="229">
        <f t="shared" si="66"/>
        <v>0</v>
      </c>
      <c r="P142" s="228">
        <f>P143+P148+P153+P166+P168</f>
        <v>188</v>
      </c>
      <c r="Q142" s="177">
        <v>519683965.81999999</v>
      </c>
      <c r="R142" s="178">
        <v>0.99187630308978447</v>
      </c>
      <c r="S142" s="228">
        <f>S143+S148+S153+S166+S168</f>
        <v>519683965.81999999</v>
      </c>
      <c r="T142" s="229">
        <f t="shared" si="67"/>
        <v>0.99187630308978447</v>
      </c>
      <c r="U142" s="229">
        <f t="shared" si="62"/>
        <v>0</v>
      </c>
      <c r="V142" s="229">
        <f t="shared" si="68"/>
        <v>0</v>
      </c>
      <c r="W142" s="228">
        <f>W143+W148+W153+W166+W168</f>
        <v>188</v>
      </c>
      <c r="X142" s="228">
        <v>519683965.81999999</v>
      </c>
      <c r="Y142" s="229">
        <v>0.99187630308978447</v>
      </c>
      <c r="Z142" s="228">
        <f>Z143+Z148+Z153+Z166+Z168</f>
        <v>519683965.81999999</v>
      </c>
      <c r="AA142" s="229">
        <f t="shared" si="69"/>
        <v>0.99187630308978447</v>
      </c>
      <c r="AB142" s="229">
        <f t="shared" si="63"/>
        <v>0</v>
      </c>
      <c r="AC142" s="229">
        <f t="shared" si="59"/>
        <v>0</v>
      </c>
      <c r="AD142" s="228">
        <f>AD143+AD148+AD153+AD166+AD168</f>
        <v>188</v>
      </c>
      <c r="AE142" s="177">
        <v>519683965.81999999</v>
      </c>
      <c r="AF142" s="178">
        <v>0.99187630308978447</v>
      </c>
      <c r="AG142" s="228">
        <f>AG143+AG148+AG153+AG166+AG168</f>
        <v>516245733.80000007</v>
      </c>
      <c r="AH142" s="229">
        <f t="shared" si="70"/>
        <v>0.98531404392948618</v>
      </c>
      <c r="AI142" s="229">
        <f t="shared" si="64"/>
        <v>-1.0439542483886566E-4</v>
      </c>
      <c r="AJ142" s="229">
        <f t="shared" si="60"/>
        <v>-1.0594019826467209E-4</v>
      </c>
      <c r="AK142" s="228">
        <v>516300430.76999998</v>
      </c>
      <c r="AL142" s="229">
        <v>0.98541843935432505</v>
      </c>
    </row>
    <row r="143" spans="1:38" ht="21" customHeight="1" x14ac:dyDescent="0.3">
      <c r="A143" s="251" t="s">
        <v>99</v>
      </c>
      <c r="B143" s="252" t="str">
        <f>VLOOKUP(A143,saīsinājumi_LV_ENG!A:G,5,FALSE)</f>
        <v>Izglītības infrastruktūra</v>
      </c>
      <c r="C143" s="217" t="s">
        <v>100</v>
      </c>
      <c r="D143" s="217"/>
      <c r="E143" s="219"/>
      <c r="F143" s="219"/>
      <c r="G143" s="277"/>
      <c r="H143" s="220">
        <f>H144+H145+H146+H147</f>
        <v>272071864</v>
      </c>
      <c r="I143" s="220">
        <f>I144+I145+I146+I147</f>
        <v>5607771</v>
      </c>
      <c r="J143" s="220">
        <f>J144+J145+J146+J147</f>
        <v>277679635</v>
      </c>
      <c r="K143" s="220">
        <f>K144+K145+K146+K147</f>
        <v>16924212.699999999</v>
      </c>
      <c r="L143" s="220">
        <f>L144+L145+L146+L147</f>
        <v>273050829.47999996</v>
      </c>
      <c r="M143" s="221">
        <f t="shared" si="65"/>
        <v>1.0035981871319115</v>
      </c>
      <c r="N143" s="221">
        <f t="shared" si="61"/>
        <v>0</v>
      </c>
      <c r="O143" s="221">
        <f t="shared" si="66"/>
        <v>0</v>
      </c>
      <c r="P143" s="220">
        <f>P144+P145+P146+P147</f>
        <v>94</v>
      </c>
      <c r="Q143" s="220">
        <v>273050829.47999996</v>
      </c>
      <c r="R143" s="221">
        <v>1.0035981871319115</v>
      </c>
      <c r="S143" s="220">
        <f>S144+S145+S146+S147</f>
        <v>273050829.47999996</v>
      </c>
      <c r="T143" s="221">
        <f t="shared" si="67"/>
        <v>1.0035981871319115</v>
      </c>
      <c r="U143" s="221">
        <f t="shared" si="62"/>
        <v>0</v>
      </c>
      <c r="V143" s="221">
        <f t="shared" si="68"/>
        <v>0</v>
      </c>
      <c r="W143" s="220">
        <f>W144+W145+W146+W147</f>
        <v>94</v>
      </c>
      <c r="X143" s="220">
        <v>273050829.47999996</v>
      </c>
      <c r="Y143" s="221">
        <v>1.0035981871319115</v>
      </c>
      <c r="Z143" s="220">
        <f>Z144+Z145+Z146+Z147</f>
        <v>273050829.47999996</v>
      </c>
      <c r="AA143" s="221">
        <f t="shared" si="69"/>
        <v>1.0035981871319115</v>
      </c>
      <c r="AB143" s="221">
        <f t="shared" si="63"/>
        <v>0</v>
      </c>
      <c r="AC143" s="221">
        <f t="shared" si="59"/>
        <v>0</v>
      </c>
      <c r="AD143" s="220">
        <f>AD144+AD145+AD146+AD147</f>
        <v>94</v>
      </c>
      <c r="AE143" s="220">
        <v>273050829.47999996</v>
      </c>
      <c r="AF143" s="221">
        <v>1.0035981871319115</v>
      </c>
      <c r="AG143" s="220">
        <f>AG144+AG145+AG146+AG147</f>
        <v>269633564.49000001</v>
      </c>
      <c r="AH143" s="221">
        <f t="shared" si="70"/>
        <v>0.99103803137100577</v>
      </c>
      <c r="AI143" s="221">
        <f t="shared" si="64"/>
        <v>-2.0103868586707208E-4</v>
      </c>
      <c r="AJ143" s="221">
        <f t="shared" si="60"/>
        <v>-2.0281553859207043E-4</v>
      </c>
      <c r="AK143" s="220">
        <v>269688261.45999998</v>
      </c>
      <c r="AL143" s="221">
        <v>0.99123907005687284</v>
      </c>
    </row>
    <row r="144" spans="1:38" ht="21" customHeight="1" x14ac:dyDescent="0.3">
      <c r="A144" s="257" t="s">
        <v>305</v>
      </c>
      <c r="B144" s="256" t="str">
        <f>VLOOKUP(A144,saīsinājumi_LV_ENG!A:G,5,FALSE)</f>
        <v>Augstskolu STEM infrastruktūra</v>
      </c>
      <c r="C144" s="12" t="s">
        <v>101</v>
      </c>
      <c r="D144" s="12"/>
      <c r="E144" s="40" t="str">
        <f>Pasākumu_līmenis!D98</f>
        <v>ERAF</v>
      </c>
      <c r="F144" s="40" t="str">
        <f>Pasākumu_līmenis!E98</f>
        <v>IZM</v>
      </c>
      <c r="G144" s="279" t="str">
        <f>VLOOKUP(A144,'2. Intervences kategorijas - Pa'!B:D,2,FALSE)</f>
        <v>10 - Veikt investīcijas izglītībā, apmācībā un profesionālajā apmācībā prasmju ieguvei, kā arī mūžizglītībā</v>
      </c>
      <c r="H144" s="171">
        <f>Pasākumu_līmenis!F98</f>
        <v>38009447</v>
      </c>
      <c r="I144" s="171">
        <f>Pasākumu_līmenis!G98</f>
        <v>0</v>
      </c>
      <c r="J144" s="171">
        <f>Pasākumu_līmenis!H98</f>
        <v>38009447</v>
      </c>
      <c r="K144" s="171">
        <f>Pasākumu_līmenis!I98</f>
        <v>2314490</v>
      </c>
      <c r="L144" s="171">
        <f>Pasākumu_līmenis!J98</f>
        <v>37742128.32</v>
      </c>
      <c r="M144" s="172">
        <f t="shared" si="65"/>
        <v>0.99296704632403621</v>
      </c>
      <c r="N144" s="172">
        <f t="shared" si="61"/>
        <v>0</v>
      </c>
      <c r="O144" s="172">
        <f t="shared" si="66"/>
        <v>0</v>
      </c>
      <c r="P144" s="171">
        <f>Pasākumu_līmenis!N98</f>
        <v>15</v>
      </c>
      <c r="Q144" s="171">
        <v>37742128.32</v>
      </c>
      <c r="R144" s="172">
        <v>0.99296704632403621</v>
      </c>
      <c r="S144" s="171">
        <f>Pasākumu_līmenis!Q98</f>
        <v>37742128.32</v>
      </c>
      <c r="T144" s="172">
        <f t="shared" si="67"/>
        <v>0.99296704632403621</v>
      </c>
      <c r="U144" s="172">
        <f t="shared" si="62"/>
        <v>0</v>
      </c>
      <c r="V144" s="172">
        <f t="shared" si="68"/>
        <v>0</v>
      </c>
      <c r="W144" s="171">
        <f>Pasākumu_līmenis!U98</f>
        <v>15</v>
      </c>
      <c r="X144" s="171">
        <v>37742128.32</v>
      </c>
      <c r="Y144" s="172">
        <v>0.99296704632403621</v>
      </c>
      <c r="Z144" s="171">
        <f>Pasākumu_līmenis!X98</f>
        <v>37742128.32</v>
      </c>
      <c r="AA144" s="172">
        <f t="shared" si="69"/>
        <v>0.99296704632403621</v>
      </c>
      <c r="AB144" s="172">
        <f t="shared" si="63"/>
        <v>0</v>
      </c>
      <c r="AC144" s="172">
        <f t="shared" si="59"/>
        <v>0</v>
      </c>
      <c r="AD144" s="171">
        <f>Pasākumu_līmenis!AB98</f>
        <v>15</v>
      </c>
      <c r="AE144" s="171">
        <v>37742128.32</v>
      </c>
      <c r="AF144" s="172">
        <v>0.99296704632403621</v>
      </c>
      <c r="AG144" s="171">
        <f>Pasākumu_līmenis!AE98</f>
        <v>37045829.759999998</v>
      </c>
      <c r="AH144" s="172">
        <f t="shared" si="70"/>
        <v>0.97464795423095729</v>
      </c>
      <c r="AI144" s="172">
        <f t="shared" si="64"/>
        <v>0</v>
      </c>
      <c r="AJ144" s="172">
        <f t="shared" si="60"/>
        <v>0</v>
      </c>
      <c r="AK144" s="171">
        <v>37045829.759999998</v>
      </c>
      <c r="AL144" s="172">
        <v>0.97464795423095729</v>
      </c>
    </row>
    <row r="145" spans="1:38" ht="39.75" customHeight="1" x14ac:dyDescent="0.3">
      <c r="A145" s="257" t="s">
        <v>445</v>
      </c>
      <c r="B145" s="256" t="str">
        <f>VLOOKUP(A145,saīsinājumi_LV_ENG!A:G,5,FALSE)</f>
        <v>Vispārējās izglītības infrastruktūra</v>
      </c>
      <c r="C145" s="12" t="s">
        <v>102</v>
      </c>
      <c r="D145" s="12"/>
      <c r="E145" s="40" t="s">
        <v>344</v>
      </c>
      <c r="F145" s="40" t="str">
        <f>Pasākumu_līmenis!E99</f>
        <v>IZM</v>
      </c>
      <c r="G145" s="279" t="str">
        <f>VLOOKUP(A145,'2. Intervences kategorijas - Pa'!B:D,2,FALSE)</f>
        <v>10 - Veikt investīcijas izglītībā, apmācībā un profesionālajā apmācībā prasmju ieguvei, kā arī mūžizglītībā</v>
      </c>
      <c r="H145" s="171">
        <f>Pasākumu_līmenis!F99</f>
        <v>133204393</v>
      </c>
      <c r="I145" s="171">
        <f>Pasākumu_līmenis!G99</f>
        <v>4095434</v>
      </c>
      <c r="J145" s="171">
        <f>Pasākumu_līmenis!H99</f>
        <v>137299827</v>
      </c>
      <c r="K145" s="171">
        <f>Pasākumu_līmenis!I99</f>
        <v>8470218</v>
      </c>
      <c r="L145" s="171">
        <f>Pasākumu_līmenis!J99</f>
        <v>133805027.91999999</v>
      </c>
      <c r="M145" s="172">
        <f t="shared" si="65"/>
        <v>1.0045091224581459</v>
      </c>
      <c r="N145" s="172">
        <f t="shared" si="61"/>
        <v>0</v>
      </c>
      <c r="O145" s="172">
        <f t="shared" si="66"/>
        <v>0</v>
      </c>
      <c r="P145" s="171">
        <f>Pasākumu_līmenis!N99</f>
        <v>46</v>
      </c>
      <c r="Q145" s="171">
        <v>133805027.91999999</v>
      </c>
      <c r="R145" s="172">
        <v>1.0045091224581459</v>
      </c>
      <c r="S145" s="171">
        <f>Pasākumu_līmenis!Q99</f>
        <v>133805027.91999999</v>
      </c>
      <c r="T145" s="172">
        <f t="shared" si="67"/>
        <v>1.0045091224581459</v>
      </c>
      <c r="U145" s="172">
        <f t="shared" si="62"/>
        <v>0</v>
      </c>
      <c r="V145" s="172">
        <f t="shared" si="68"/>
        <v>0</v>
      </c>
      <c r="W145" s="171">
        <f>Pasākumu_līmenis!U99</f>
        <v>46</v>
      </c>
      <c r="X145" s="171">
        <v>133805027.91999999</v>
      </c>
      <c r="Y145" s="172">
        <v>1.0045091224581459</v>
      </c>
      <c r="Z145" s="171">
        <f>Pasākumu_līmenis!X99</f>
        <v>133805027.91999999</v>
      </c>
      <c r="AA145" s="172">
        <f>Z145/$H145</f>
        <v>1.0045091224581459</v>
      </c>
      <c r="AB145" s="172">
        <f>AA145-AF145</f>
        <v>0</v>
      </c>
      <c r="AC145" s="172">
        <f t="shared" si="59"/>
        <v>0</v>
      </c>
      <c r="AD145" s="171">
        <f>Pasākumu_līmenis!AB99</f>
        <v>46</v>
      </c>
      <c r="AE145" s="171">
        <v>133805027.91999999</v>
      </c>
      <c r="AF145" s="172">
        <v>1.0045091224581459</v>
      </c>
      <c r="AG145" s="171">
        <f>Pasākumu_līmenis!AE99</f>
        <v>133063679.94999999</v>
      </c>
      <c r="AH145" s="172">
        <f>AG145/$H145</f>
        <v>0.99894363056029234</v>
      </c>
      <c r="AI145" s="172">
        <f>AH145-AL145</f>
        <v>-4.1062437032379773E-4</v>
      </c>
      <c r="AJ145" s="172">
        <f t="shared" si="60"/>
        <v>-4.1088970032191716E-4</v>
      </c>
      <c r="AK145" s="171">
        <v>133118376.91999999</v>
      </c>
      <c r="AL145" s="172">
        <v>0.99935425493061614</v>
      </c>
    </row>
    <row r="146" spans="1:38" ht="39.75" customHeight="1" x14ac:dyDescent="0.3">
      <c r="A146" s="257" t="s">
        <v>306</v>
      </c>
      <c r="B146" s="256" t="str">
        <f>VLOOKUP(A146,saīsinājumi_LV_ENG!A:G,5,FALSE)</f>
        <v>Profesionālās izglītības infrastruktūra</v>
      </c>
      <c r="C146" s="12" t="s">
        <v>103</v>
      </c>
      <c r="D146" s="12"/>
      <c r="E146" s="40" t="str">
        <f>Pasākumu_līmenis!D100</f>
        <v>ERAF</v>
      </c>
      <c r="F146" s="40" t="str">
        <f>Pasākumu_līmenis!E100</f>
        <v>IZM</v>
      </c>
      <c r="G146" s="279" t="str">
        <f>VLOOKUP(A146,'2. Intervences kategorijas - Pa'!B:D,2,FALSE)</f>
        <v>10 - Veikt investīcijas izglītībā, apmācībā un profesionālajā apmācībā prasmju ieguvei, kā arī mūžizglītībā</v>
      </c>
      <c r="H146" s="171">
        <f>Pasākumu_līmenis!F100</f>
        <v>88864646</v>
      </c>
      <c r="I146" s="171">
        <f>Pasākumu_līmenis!G100</f>
        <v>1512337</v>
      </c>
      <c r="J146" s="171">
        <f>Pasākumu_līmenis!H100</f>
        <v>90376983</v>
      </c>
      <c r="K146" s="171">
        <f>Pasākumu_līmenis!I100</f>
        <v>5404059.7000000002</v>
      </c>
      <c r="L146" s="171">
        <f>Pasākumu_līmenis!J100</f>
        <v>89515294.299999997</v>
      </c>
      <c r="M146" s="172">
        <f t="shared" si="65"/>
        <v>1.0073217902651634</v>
      </c>
      <c r="N146" s="172">
        <f t="shared" si="61"/>
        <v>0</v>
      </c>
      <c r="O146" s="172">
        <f t="shared" si="66"/>
        <v>0</v>
      </c>
      <c r="P146" s="171">
        <f>Pasākumu_līmenis!N100</f>
        <v>24</v>
      </c>
      <c r="Q146" s="171">
        <v>89515294.299999997</v>
      </c>
      <c r="R146" s="172">
        <v>1.0073217902651634</v>
      </c>
      <c r="S146" s="171">
        <f>Pasākumu_līmenis!Q100</f>
        <v>89515294.299999997</v>
      </c>
      <c r="T146" s="172">
        <f t="shared" si="67"/>
        <v>1.0073217902651634</v>
      </c>
      <c r="U146" s="172">
        <f t="shared" si="62"/>
        <v>0</v>
      </c>
      <c r="V146" s="172">
        <f t="shared" si="68"/>
        <v>0</v>
      </c>
      <c r="W146" s="171">
        <f>Pasākumu_līmenis!U100</f>
        <v>24</v>
      </c>
      <c r="X146" s="171">
        <v>89515294.299999997</v>
      </c>
      <c r="Y146" s="172">
        <v>1.0073217902651634</v>
      </c>
      <c r="Z146" s="171">
        <f>Pasākumu_līmenis!X100</f>
        <v>89515294.299999997</v>
      </c>
      <c r="AA146" s="172">
        <f t="shared" si="69"/>
        <v>1.0073217902651634</v>
      </c>
      <c r="AB146" s="172">
        <f t="shared" si="63"/>
        <v>0</v>
      </c>
      <c r="AC146" s="172">
        <f t="shared" ref="AC146:AC213" si="115">IFERROR(((Z146-AE146)/AE146),0)</f>
        <v>0</v>
      </c>
      <c r="AD146" s="171">
        <f>Pasākumu_līmenis!AB100</f>
        <v>24</v>
      </c>
      <c r="AE146" s="171">
        <v>89515294.299999997</v>
      </c>
      <c r="AF146" s="172">
        <v>1.0073217902651634</v>
      </c>
      <c r="AG146" s="171">
        <f>Pasākumu_līmenis!AE100</f>
        <v>87993777.900000006</v>
      </c>
      <c r="AH146" s="172">
        <f t="shared" si="70"/>
        <v>0.99020006111316761</v>
      </c>
      <c r="AI146" s="172">
        <f t="shared" si="64"/>
        <v>0</v>
      </c>
      <c r="AJ146" s="172">
        <f t="shared" si="60"/>
        <v>0</v>
      </c>
      <c r="AK146" s="171">
        <v>87993777.900000006</v>
      </c>
      <c r="AL146" s="172">
        <v>0.99020006111316761</v>
      </c>
    </row>
    <row r="147" spans="1:38" ht="21" customHeight="1" x14ac:dyDescent="0.3">
      <c r="A147" s="257" t="s">
        <v>307</v>
      </c>
      <c r="B147" s="256" t="str">
        <f>VLOOKUP(A147,saīsinājumi_LV_ENG!A:G,5,FALSE)</f>
        <v>Koledžu STEM infrastruktūrā</v>
      </c>
      <c r="C147" s="12" t="s">
        <v>104</v>
      </c>
      <c r="D147" s="12"/>
      <c r="E147" s="40" t="str">
        <f>Pasākumu_līmenis!D101</f>
        <v>ERAF</v>
      </c>
      <c r="F147" s="40" t="str">
        <f>Pasākumu_līmenis!E101</f>
        <v>IZM</v>
      </c>
      <c r="G147" s="279" t="str">
        <f>VLOOKUP(A147,'2. Intervences kategorijas - Pa'!B:D,2,FALSE)</f>
        <v>10 - Veikt investīcijas izglītībā, apmācībā un profesionālajā apmācībā prasmju ieguvei, kā arī mūžizglītībā</v>
      </c>
      <c r="H147" s="171">
        <f>Pasākumu_līmenis!F101</f>
        <v>11993378</v>
      </c>
      <c r="I147" s="171">
        <f>Pasākumu_līmenis!G101</f>
        <v>0</v>
      </c>
      <c r="J147" s="171">
        <f>Pasākumu_līmenis!H101</f>
        <v>11993378</v>
      </c>
      <c r="K147" s="171">
        <f>Pasākumu_līmenis!I101</f>
        <v>735445</v>
      </c>
      <c r="L147" s="171">
        <f>Pasākumu_līmenis!J101</f>
        <v>11988378.939999999</v>
      </c>
      <c r="M147" s="172">
        <f t="shared" si="65"/>
        <v>0.99958318165240845</v>
      </c>
      <c r="N147" s="172">
        <f t="shared" si="61"/>
        <v>0</v>
      </c>
      <c r="O147" s="172">
        <f t="shared" si="66"/>
        <v>0</v>
      </c>
      <c r="P147" s="171">
        <f>Pasākumu_līmenis!N101</f>
        <v>9</v>
      </c>
      <c r="Q147" s="171">
        <v>11988378.939999999</v>
      </c>
      <c r="R147" s="172">
        <v>0.99958318165240845</v>
      </c>
      <c r="S147" s="171">
        <f>Pasākumu_līmenis!Q101</f>
        <v>11988378.939999999</v>
      </c>
      <c r="T147" s="172">
        <f t="shared" si="67"/>
        <v>0.99958318165240845</v>
      </c>
      <c r="U147" s="172">
        <f t="shared" si="62"/>
        <v>0</v>
      </c>
      <c r="V147" s="172">
        <f t="shared" si="68"/>
        <v>0</v>
      </c>
      <c r="W147" s="171">
        <f>Pasākumu_līmenis!U101</f>
        <v>9</v>
      </c>
      <c r="X147" s="171">
        <v>11988378.939999999</v>
      </c>
      <c r="Y147" s="172">
        <v>0.99958318165240845</v>
      </c>
      <c r="Z147" s="171">
        <f>Pasākumu_līmenis!X101</f>
        <v>11988378.939999999</v>
      </c>
      <c r="AA147" s="172">
        <f t="shared" si="69"/>
        <v>0.99958318165240845</v>
      </c>
      <c r="AB147" s="172">
        <f t="shared" si="63"/>
        <v>0</v>
      </c>
      <c r="AC147" s="172">
        <f t="shared" si="115"/>
        <v>0</v>
      </c>
      <c r="AD147" s="171">
        <f>Pasākumu_līmenis!AB101</f>
        <v>9</v>
      </c>
      <c r="AE147" s="171">
        <v>11988378.939999999</v>
      </c>
      <c r="AF147" s="172">
        <v>0.99958318165240845</v>
      </c>
      <c r="AG147" s="171">
        <f>Pasākumu_līmenis!AE101</f>
        <v>11530276.880000001</v>
      </c>
      <c r="AH147" s="172">
        <f t="shared" si="70"/>
        <v>0.96138693202198755</v>
      </c>
      <c r="AI147" s="172">
        <f t="shared" si="64"/>
        <v>0</v>
      </c>
      <c r="AJ147" s="172">
        <f t="shared" si="60"/>
        <v>0</v>
      </c>
      <c r="AK147" s="171">
        <v>11530276.880000001</v>
      </c>
      <c r="AL147" s="172">
        <v>0.96138693202198755</v>
      </c>
    </row>
    <row r="148" spans="1:38" ht="22.5" customHeight="1" x14ac:dyDescent="0.3">
      <c r="A148" s="251" t="s">
        <v>105</v>
      </c>
      <c r="B148" s="252" t="str">
        <f>VLOOKUP(A148,saīsinājumi_LV_ENG!A:G,5,FALSE)</f>
        <v>Augstākā izglītība</v>
      </c>
      <c r="C148" s="217" t="s">
        <v>106</v>
      </c>
      <c r="D148" s="217"/>
      <c r="E148" s="219"/>
      <c r="F148" s="219"/>
      <c r="G148" s="277"/>
      <c r="H148" s="220">
        <f>H149+H150+H151+H152</f>
        <v>54825638</v>
      </c>
      <c r="I148" s="220">
        <f>I149+I150+I151+I152</f>
        <v>0</v>
      </c>
      <c r="J148" s="220">
        <f>J149+J150+J151+J152</f>
        <v>54825638</v>
      </c>
      <c r="K148" s="220">
        <f>K149+K150+K151+K152</f>
        <v>3522884</v>
      </c>
      <c r="L148" s="220">
        <f>L149+L150+L151+L152</f>
        <v>51765517.5</v>
      </c>
      <c r="M148" s="221">
        <f t="shared" si="65"/>
        <v>0.94418449813570793</v>
      </c>
      <c r="N148" s="221">
        <f t="shared" si="61"/>
        <v>0</v>
      </c>
      <c r="O148" s="221">
        <f t="shared" si="66"/>
        <v>0</v>
      </c>
      <c r="P148" s="220">
        <f>P149+P150+P151+P152</f>
        <v>71</v>
      </c>
      <c r="Q148" s="220">
        <v>51765517.5</v>
      </c>
      <c r="R148" s="221">
        <v>0.94418449813570793</v>
      </c>
      <c r="S148" s="220">
        <f>S149+S150+S151+S152</f>
        <v>51765517.5</v>
      </c>
      <c r="T148" s="221">
        <f t="shared" si="67"/>
        <v>0.94418449813570793</v>
      </c>
      <c r="U148" s="221">
        <f t="shared" si="62"/>
        <v>0</v>
      </c>
      <c r="V148" s="221">
        <f t="shared" si="68"/>
        <v>0</v>
      </c>
      <c r="W148" s="220">
        <f>W149+W150+W151+W152</f>
        <v>71</v>
      </c>
      <c r="X148" s="220">
        <v>51765517.5</v>
      </c>
      <c r="Y148" s="221">
        <v>0.94418449813570793</v>
      </c>
      <c r="Z148" s="220">
        <f>Z149+Z150+Z151+Z152</f>
        <v>51765517.5</v>
      </c>
      <c r="AA148" s="221">
        <f t="shared" si="69"/>
        <v>0.94418449813570793</v>
      </c>
      <c r="AB148" s="221">
        <f t="shared" si="63"/>
        <v>0</v>
      </c>
      <c r="AC148" s="221">
        <f t="shared" si="115"/>
        <v>0</v>
      </c>
      <c r="AD148" s="220">
        <f>AD149+AD150+AD151+AD152</f>
        <v>71</v>
      </c>
      <c r="AE148" s="220">
        <v>51765517.5</v>
      </c>
      <c r="AF148" s="221">
        <v>0.94418449813570793</v>
      </c>
      <c r="AG148" s="220">
        <f>AG149+AG150+AG151+AG152</f>
        <v>51744550.469999999</v>
      </c>
      <c r="AH148" s="221">
        <f t="shared" si="70"/>
        <v>0.94380206701835367</v>
      </c>
      <c r="AI148" s="221">
        <f t="shared" si="64"/>
        <v>0</v>
      </c>
      <c r="AJ148" s="221">
        <f t="shared" ref="AJ148:AJ214" si="116">IFERROR(((AG148-AK148)/AK148),0)</f>
        <v>0</v>
      </c>
      <c r="AK148" s="220">
        <v>51744550.469999999</v>
      </c>
      <c r="AL148" s="221">
        <v>0.94380206701835367</v>
      </c>
    </row>
    <row r="149" spans="1:38" ht="39.75" customHeight="1" x14ac:dyDescent="0.3">
      <c r="A149" s="257" t="s">
        <v>308</v>
      </c>
      <c r="B149" s="256" t="str">
        <f>VLOOKUP(A149,saīsinājumi_LV_ENG!A:G,5,FALSE)</f>
        <v>Studiju programmu fragmentācijas samazināšana</v>
      </c>
      <c r="C149" s="12" t="s">
        <v>107</v>
      </c>
      <c r="D149" s="12"/>
      <c r="E149" s="40" t="str">
        <f>Pasākumu_līmenis!D102</f>
        <v>ESF</v>
      </c>
      <c r="F149" s="40" t="str">
        <f>Pasākumu_līmenis!E102</f>
        <v>IZM</v>
      </c>
      <c r="G149" s="279" t="str">
        <f>VLOOKUP(A149,'2. Intervences kategorijas - Pa'!B:D,2,FALSE)</f>
        <v>10 - Veikt investīcijas izglītībā, apmācībā un profesionālajā apmācībā prasmju ieguvei, kā arī mūžizglītībā</v>
      </c>
      <c r="H149" s="171">
        <f>Pasākumu_līmenis!F102</f>
        <v>10757181</v>
      </c>
      <c r="I149" s="171">
        <f>Pasākumu_līmenis!G102</f>
        <v>0</v>
      </c>
      <c r="J149" s="171">
        <f>Pasākumu_līmenis!H102</f>
        <v>10757181</v>
      </c>
      <c r="K149" s="171">
        <f>Pasākumu_līmenis!I102</f>
        <v>571654</v>
      </c>
      <c r="L149" s="171">
        <f>Pasākumu_līmenis!J102</f>
        <v>10362191.369999999</v>
      </c>
      <c r="M149" s="172">
        <f t="shared" si="65"/>
        <v>0.96328130669178103</v>
      </c>
      <c r="N149" s="172">
        <f t="shared" si="61"/>
        <v>0</v>
      </c>
      <c r="O149" s="172">
        <f t="shared" si="66"/>
        <v>0</v>
      </c>
      <c r="P149" s="171">
        <f>Pasākumu_līmenis!N102</f>
        <v>20</v>
      </c>
      <c r="Q149" s="171">
        <v>10362191.369999999</v>
      </c>
      <c r="R149" s="172">
        <v>0.96328130669178103</v>
      </c>
      <c r="S149" s="171">
        <f>Pasākumu_līmenis!Q102</f>
        <v>10362191.369999999</v>
      </c>
      <c r="T149" s="172">
        <f t="shared" si="67"/>
        <v>0.96328130669178103</v>
      </c>
      <c r="U149" s="172">
        <f t="shared" si="62"/>
        <v>0</v>
      </c>
      <c r="V149" s="172">
        <f t="shared" si="68"/>
        <v>0</v>
      </c>
      <c r="W149" s="171">
        <f>Pasākumu_līmenis!U102</f>
        <v>20</v>
      </c>
      <c r="X149" s="171">
        <v>10362191.369999999</v>
      </c>
      <c r="Y149" s="172">
        <v>0.96328130669178103</v>
      </c>
      <c r="Z149" s="171">
        <f>Pasākumu_līmenis!X102</f>
        <v>10362191.369999999</v>
      </c>
      <c r="AA149" s="172">
        <f t="shared" si="69"/>
        <v>0.96328130669178103</v>
      </c>
      <c r="AB149" s="172">
        <f t="shared" si="63"/>
        <v>0</v>
      </c>
      <c r="AC149" s="172">
        <f t="shared" si="115"/>
        <v>0</v>
      </c>
      <c r="AD149" s="171">
        <f>Pasākumu_līmenis!AB102</f>
        <v>20</v>
      </c>
      <c r="AE149" s="171">
        <v>10362191.369999999</v>
      </c>
      <c r="AF149" s="172">
        <v>0.96328130669178103</v>
      </c>
      <c r="AG149" s="171">
        <f>Pasākumu_līmenis!AE102</f>
        <v>10362191.369999999</v>
      </c>
      <c r="AH149" s="172">
        <f t="shared" si="70"/>
        <v>0.96328130669178103</v>
      </c>
      <c r="AI149" s="172">
        <f t="shared" si="64"/>
        <v>0</v>
      </c>
      <c r="AJ149" s="172">
        <f t="shared" si="116"/>
        <v>0</v>
      </c>
      <c r="AK149" s="171">
        <v>10362191.369999999</v>
      </c>
      <c r="AL149" s="172">
        <v>0.96328130669178103</v>
      </c>
    </row>
    <row r="150" spans="1:38" ht="60.75" customHeight="1" x14ac:dyDescent="0.3">
      <c r="A150" s="257" t="s">
        <v>309</v>
      </c>
      <c r="B150" s="256" t="str">
        <f>VLOOKUP(A150,saīsinājumi_LV_ENG!A:G,5,FALSE)</f>
        <v>Akadēmiskā personāla stratēģiskās specializācijas stiprināšana</v>
      </c>
      <c r="C150" s="12" t="s">
        <v>109</v>
      </c>
      <c r="D150" s="12"/>
      <c r="E150" s="40" t="str">
        <f>Pasākumu_līmenis!D103</f>
        <v>ESF</v>
      </c>
      <c r="F150" s="40" t="str">
        <f>Pasākumu_līmenis!E103</f>
        <v>IZM</v>
      </c>
      <c r="G150" s="279" t="str">
        <f>VLOOKUP(A150,'2. Intervences kategorijas - Pa'!B:D,2,FALSE)</f>
        <v>10 - Veikt investīcijas izglītībā, apmācībā un profesionālajā apmācībā prasmju ieguvei, kā arī mūžizglītībā</v>
      </c>
      <c r="H150" s="171">
        <f>Pasākumu_līmenis!F103</f>
        <v>27199264</v>
      </c>
      <c r="I150" s="171">
        <f>Pasākumu_līmenis!G103</f>
        <v>0</v>
      </c>
      <c r="J150" s="171">
        <f>Pasākumu_līmenis!H103</f>
        <v>27199264</v>
      </c>
      <c r="K150" s="171">
        <f>Pasākumu_līmenis!I103</f>
        <v>1815163</v>
      </c>
      <c r="L150" s="171">
        <f>Pasākumu_līmenis!J103</f>
        <v>24667982.48</v>
      </c>
      <c r="M150" s="172">
        <f t="shared" si="65"/>
        <v>0.90693566120024427</v>
      </c>
      <c r="N150" s="172">
        <f t="shared" si="61"/>
        <v>0</v>
      </c>
      <c r="O150" s="172">
        <f t="shared" si="66"/>
        <v>0</v>
      </c>
      <c r="P150" s="171">
        <f>Pasākumu_līmenis!N103</f>
        <v>32</v>
      </c>
      <c r="Q150" s="171">
        <v>24667982.48</v>
      </c>
      <c r="R150" s="172">
        <v>0.90693566120024427</v>
      </c>
      <c r="S150" s="171">
        <f>Pasākumu_līmenis!Q103</f>
        <v>24667982.48</v>
      </c>
      <c r="T150" s="172">
        <f t="shared" si="67"/>
        <v>0.90693566120024427</v>
      </c>
      <c r="U150" s="172">
        <f t="shared" si="62"/>
        <v>0</v>
      </c>
      <c r="V150" s="172">
        <f t="shared" si="68"/>
        <v>0</v>
      </c>
      <c r="W150" s="171">
        <f>Pasākumu_līmenis!U103</f>
        <v>32</v>
      </c>
      <c r="X150" s="171">
        <v>24667982.48</v>
      </c>
      <c r="Y150" s="172">
        <v>0.90693566120024427</v>
      </c>
      <c r="Z150" s="171">
        <f>Pasākumu_līmenis!X103</f>
        <v>24667982.48</v>
      </c>
      <c r="AA150" s="172">
        <f t="shared" si="69"/>
        <v>0.90693566120024427</v>
      </c>
      <c r="AB150" s="172">
        <f t="shared" si="63"/>
        <v>0</v>
      </c>
      <c r="AC150" s="172">
        <f t="shared" si="115"/>
        <v>0</v>
      </c>
      <c r="AD150" s="171">
        <f>Pasākumu_līmenis!AB103</f>
        <v>32</v>
      </c>
      <c r="AE150" s="171">
        <v>24667982.48</v>
      </c>
      <c r="AF150" s="172">
        <v>0.90693566120024427</v>
      </c>
      <c r="AG150" s="171">
        <f>Pasākumu_līmenis!AE103</f>
        <v>24387906.82</v>
      </c>
      <c r="AH150" s="172">
        <f t="shared" si="70"/>
        <v>0.89663848330601892</v>
      </c>
      <c r="AI150" s="172">
        <f t="shared" si="64"/>
        <v>0</v>
      </c>
      <c r="AJ150" s="172">
        <f t="shared" si="116"/>
        <v>0</v>
      </c>
      <c r="AK150" s="171">
        <v>24387906.82</v>
      </c>
      <c r="AL150" s="172">
        <v>0.89663848330601892</v>
      </c>
    </row>
    <row r="151" spans="1:38" ht="39.75" customHeight="1" x14ac:dyDescent="0.3">
      <c r="A151" s="257" t="s">
        <v>310</v>
      </c>
      <c r="B151" s="256" t="str">
        <f>VLOOKUP(A151,saīsinājumi_LV_ENG!A:G,5,FALSE)</f>
        <v>Efektīvas pārvaldības nodrošināšana augstskolās</v>
      </c>
      <c r="C151" s="12" t="s">
        <v>110</v>
      </c>
      <c r="D151" s="12"/>
      <c r="E151" s="40" t="str">
        <f>Pasākumu_līmenis!D104</f>
        <v>ESF</v>
      </c>
      <c r="F151" s="40" t="str">
        <f>Pasākumu_līmenis!E104</f>
        <v>IZM</v>
      </c>
      <c r="G151" s="279" t="str">
        <f>VLOOKUP(A151,'2. Intervences kategorijas - Pa'!B:D,2,FALSE)</f>
        <v>10 - Veikt investīcijas izglītībā, apmācībā un profesionālajā apmācībā prasmju ieguvei, kā arī mūžizglītībā</v>
      </c>
      <c r="H151" s="171">
        <f>Pasākumu_līmenis!F104</f>
        <v>15820266</v>
      </c>
      <c r="I151" s="171">
        <f>Pasākumu_līmenis!G104</f>
        <v>0</v>
      </c>
      <c r="J151" s="171">
        <f>Pasākumu_līmenis!H104</f>
        <v>15820266</v>
      </c>
      <c r="K151" s="171">
        <f>Pasākumu_līmenis!I104</f>
        <v>1136067</v>
      </c>
      <c r="L151" s="171">
        <f>Pasākumu_līmenis!J104</f>
        <v>15686416.969999999</v>
      </c>
      <c r="M151" s="172">
        <f t="shared" ref="M151:M215" si="117">L151/$H151</f>
        <v>0.99153939447035844</v>
      </c>
      <c r="N151" s="172">
        <f t="shared" ref="N151:N214" si="118">M151-R151</f>
        <v>0</v>
      </c>
      <c r="O151" s="172">
        <f t="shared" si="66"/>
        <v>0</v>
      </c>
      <c r="P151" s="171">
        <f>Pasākumu_līmenis!N104</f>
        <v>18</v>
      </c>
      <c r="Q151" s="171">
        <v>15686416.969999999</v>
      </c>
      <c r="R151" s="172">
        <v>0.99153939447035844</v>
      </c>
      <c r="S151" s="171">
        <f>Pasākumu_līmenis!Q104</f>
        <v>15686416.969999999</v>
      </c>
      <c r="T151" s="172">
        <f t="shared" ref="T151:T215" si="119">S151/$H151</f>
        <v>0.99153939447035844</v>
      </c>
      <c r="U151" s="172">
        <f t="shared" ref="U151:U215" si="120">T151-Y151</f>
        <v>0</v>
      </c>
      <c r="V151" s="172">
        <f t="shared" si="68"/>
        <v>0</v>
      </c>
      <c r="W151" s="171">
        <f>Pasākumu_līmenis!U104</f>
        <v>18</v>
      </c>
      <c r="X151" s="171">
        <v>15686416.969999999</v>
      </c>
      <c r="Y151" s="172">
        <v>0.99153939447035844</v>
      </c>
      <c r="Z151" s="171">
        <f>Pasākumu_līmenis!X104</f>
        <v>15686416.969999999</v>
      </c>
      <c r="AA151" s="172">
        <f t="shared" ref="AA151:AA215" si="121">Z151/$H151</f>
        <v>0.99153939447035844</v>
      </c>
      <c r="AB151" s="172">
        <f t="shared" ref="AB151:AB215" si="122">AA151-AF151</f>
        <v>0</v>
      </c>
      <c r="AC151" s="172">
        <f t="shared" si="115"/>
        <v>0</v>
      </c>
      <c r="AD151" s="171">
        <f>Pasākumu_līmenis!AB104</f>
        <v>18</v>
      </c>
      <c r="AE151" s="171">
        <v>15686416.969999999</v>
      </c>
      <c r="AF151" s="172">
        <v>0.99153939447035844</v>
      </c>
      <c r="AG151" s="171">
        <f>Pasākumu_līmenis!AE104</f>
        <v>15945525.6</v>
      </c>
      <c r="AH151" s="172">
        <f t="shared" ref="AH151:AH215" si="123">AG151/$H151</f>
        <v>1.0079176671239283</v>
      </c>
      <c r="AI151" s="172">
        <f t="shared" ref="AI151:AI215" si="124">AH151-AL151</f>
        <v>0</v>
      </c>
      <c r="AJ151" s="172">
        <f t="shared" si="116"/>
        <v>0</v>
      </c>
      <c r="AK151" s="171">
        <v>15945525.6</v>
      </c>
      <c r="AL151" s="172">
        <v>1.0079176671239283</v>
      </c>
    </row>
    <row r="152" spans="1:38" ht="21" customHeight="1" x14ac:dyDescent="0.3">
      <c r="A152" s="257" t="s">
        <v>311</v>
      </c>
      <c r="B152" s="256" t="str">
        <f>VLOOKUP(A152,saīsinājumi_LV_ENG!A:G,5,FALSE)</f>
        <v>Atbalsts EQAR aģentūrai</v>
      </c>
      <c r="C152" s="12" t="s">
        <v>111</v>
      </c>
      <c r="D152" s="12"/>
      <c r="E152" s="40" t="str">
        <f>Pasākumu_līmenis!D105</f>
        <v>ESF</v>
      </c>
      <c r="F152" s="40" t="str">
        <f>Pasākumu_līmenis!E105</f>
        <v>IZM</v>
      </c>
      <c r="G152" s="279" t="str">
        <f>VLOOKUP(A152,'2. Intervences kategorijas - Pa'!B:D,2,FALSE)</f>
        <v>10 - Veikt investīcijas izglītībā, apmācībā un profesionālajā apmācībā prasmju ieguvei, kā arī mūžizglītībā</v>
      </c>
      <c r="H152" s="171">
        <f>Pasākumu_līmenis!F105</f>
        <v>1048927</v>
      </c>
      <c r="I152" s="171">
        <f>Pasākumu_līmenis!G105</f>
        <v>0</v>
      </c>
      <c r="J152" s="171">
        <f>Pasākumu_līmenis!H105</f>
        <v>1048927</v>
      </c>
      <c r="K152" s="171">
        <f>Pasākumu_līmenis!I105</f>
        <v>0</v>
      </c>
      <c r="L152" s="171">
        <f>Pasākumu_līmenis!J105</f>
        <v>1048926.68</v>
      </c>
      <c r="M152" s="172">
        <f t="shared" si="117"/>
        <v>0.999999694926339</v>
      </c>
      <c r="N152" s="172">
        <f t="shared" si="118"/>
        <v>0</v>
      </c>
      <c r="O152" s="172">
        <f t="shared" si="66"/>
        <v>0</v>
      </c>
      <c r="P152" s="171">
        <f>Pasākumu_līmenis!N105</f>
        <v>1</v>
      </c>
      <c r="Q152" s="171">
        <v>1048926.68</v>
      </c>
      <c r="R152" s="172">
        <v>0.999999694926339</v>
      </c>
      <c r="S152" s="171">
        <f>Pasākumu_līmenis!Q105</f>
        <v>1048926.68</v>
      </c>
      <c r="T152" s="172">
        <f t="shared" si="119"/>
        <v>0.999999694926339</v>
      </c>
      <c r="U152" s="172">
        <f t="shared" si="120"/>
        <v>0</v>
      </c>
      <c r="V152" s="172">
        <f t="shared" si="68"/>
        <v>0</v>
      </c>
      <c r="W152" s="171">
        <f>Pasākumu_līmenis!U105</f>
        <v>1</v>
      </c>
      <c r="X152" s="171">
        <v>1048926.68</v>
      </c>
      <c r="Y152" s="172">
        <v>0.999999694926339</v>
      </c>
      <c r="Z152" s="171">
        <f>Pasākumu_līmenis!X105</f>
        <v>1048926.68</v>
      </c>
      <c r="AA152" s="172">
        <f t="shared" si="121"/>
        <v>0.999999694926339</v>
      </c>
      <c r="AB152" s="172">
        <f t="shared" si="122"/>
        <v>0</v>
      </c>
      <c r="AC152" s="172">
        <f t="shared" si="115"/>
        <v>0</v>
      </c>
      <c r="AD152" s="171">
        <f>Pasākumu_līmenis!AB105</f>
        <v>1</v>
      </c>
      <c r="AE152" s="171">
        <v>1048926.68</v>
      </c>
      <c r="AF152" s="172">
        <v>0.999999694926339</v>
      </c>
      <c r="AG152" s="171">
        <f>Pasākumu_līmenis!AE105</f>
        <v>1048926.68</v>
      </c>
      <c r="AH152" s="172">
        <f t="shared" si="123"/>
        <v>0.999999694926339</v>
      </c>
      <c r="AI152" s="172">
        <f t="shared" si="124"/>
        <v>0</v>
      </c>
      <c r="AJ152" s="172">
        <f t="shared" si="116"/>
        <v>0</v>
      </c>
      <c r="AK152" s="171">
        <v>1048926.68</v>
      </c>
      <c r="AL152" s="172">
        <v>0.999999694926339</v>
      </c>
    </row>
    <row r="153" spans="1:38" ht="59.25" customHeight="1" x14ac:dyDescent="0.3">
      <c r="A153" s="251" t="s">
        <v>108</v>
      </c>
      <c r="B153" s="252" t="str">
        <f>VLOOKUP(A153,saīsinājumi_LV_ENG!A:G,5,FALSE)</f>
        <v>Priekšlaicīgu mācību pārtraukšanas mazināšana un novēršana</v>
      </c>
      <c r="C153" s="217" t="s">
        <v>112</v>
      </c>
      <c r="D153" s="217"/>
      <c r="E153" s="219"/>
      <c r="F153" s="219"/>
      <c r="G153" s="277"/>
      <c r="H153" s="220">
        <f>H154+H157+H160+H161+H162+H163</f>
        <v>129791316</v>
      </c>
      <c r="I153" s="220">
        <f>I154+I157+I160+I161+I162+I163</f>
        <v>0</v>
      </c>
      <c r="J153" s="220">
        <f>J154+J157+J160+J161+J162+J163</f>
        <v>129791316</v>
      </c>
      <c r="K153" s="220">
        <f>K154+K157+K160+K161+K162+K163</f>
        <v>1219986</v>
      </c>
      <c r="L153" s="220">
        <f>L154+L157+L160+L161+L162+L163</f>
        <v>128381425.23999999</v>
      </c>
      <c r="M153" s="221">
        <f t="shared" si="117"/>
        <v>0.98913724890500376</v>
      </c>
      <c r="N153" s="221">
        <f t="shared" si="118"/>
        <v>0</v>
      </c>
      <c r="O153" s="221">
        <f t="shared" si="66"/>
        <v>0</v>
      </c>
      <c r="P153" s="220">
        <f>P154+P157+P160+P161+P162+P163</f>
        <v>19</v>
      </c>
      <c r="Q153" s="220">
        <v>128381425.23999999</v>
      </c>
      <c r="R153" s="221">
        <v>0.98913724890500376</v>
      </c>
      <c r="S153" s="220">
        <f>S154+S157+S160+S161+S162+S163</f>
        <v>128381425.23999999</v>
      </c>
      <c r="T153" s="221">
        <f t="shared" si="119"/>
        <v>0.98913724890500376</v>
      </c>
      <c r="U153" s="221">
        <f t="shared" si="120"/>
        <v>0</v>
      </c>
      <c r="V153" s="221">
        <f t="shared" si="68"/>
        <v>0</v>
      </c>
      <c r="W153" s="220">
        <f>W154+W157+W160+W161+W162+W163</f>
        <v>19</v>
      </c>
      <c r="X153" s="220">
        <v>128381425.23999999</v>
      </c>
      <c r="Y153" s="221">
        <v>0.98913724890500376</v>
      </c>
      <c r="Z153" s="220">
        <f>Z154+Z157+Z160+Z161+Z162+Z163</f>
        <v>128381425.23999999</v>
      </c>
      <c r="AA153" s="221">
        <f t="shared" si="121"/>
        <v>0.98913724890500376</v>
      </c>
      <c r="AB153" s="221">
        <f t="shared" si="122"/>
        <v>0</v>
      </c>
      <c r="AC153" s="221">
        <f t="shared" si="115"/>
        <v>0</v>
      </c>
      <c r="AD153" s="220">
        <f>AD154+AD157+AD160+AD161+AD162+AD163</f>
        <v>19</v>
      </c>
      <c r="AE153" s="220">
        <v>128381425.23999999</v>
      </c>
      <c r="AF153" s="221">
        <v>0.98913724890500376</v>
      </c>
      <c r="AG153" s="220">
        <f>AG154+AG157+AG160+AG161+AG162+AG163</f>
        <v>128381425.23999999</v>
      </c>
      <c r="AH153" s="221">
        <f t="shared" si="123"/>
        <v>0.98913724890500376</v>
      </c>
      <c r="AI153" s="221">
        <f t="shared" si="124"/>
        <v>0</v>
      </c>
      <c r="AJ153" s="221">
        <f t="shared" si="116"/>
        <v>0</v>
      </c>
      <c r="AK153" s="220">
        <v>128381425.23999999</v>
      </c>
      <c r="AL153" s="221">
        <v>0.98913724890500376</v>
      </c>
    </row>
    <row r="154" spans="1:38" ht="21" customHeight="1" x14ac:dyDescent="0.3">
      <c r="A154" s="253" t="s">
        <v>446</v>
      </c>
      <c r="B154" s="254" t="str">
        <f>VLOOKUP(A154,saīsinājumi_LV_ENG!A:G,5,FALSE)</f>
        <v>Kompetenču pieejas attīšana</v>
      </c>
      <c r="C154" s="222" t="s">
        <v>113</v>
      </c>
      <c r="D154" s="222"/>
      <c r="E154" s="224"/>
      <c r="F154" s="224"/>
      <c r="G154" s="278"/>
      <c r="H154" s="225">
        <f>SUM(H155:H156)</f>
        <v>27873911</v>
      </c>
      <c r="I154" s="225">
        <f>SUM(I155:I156)</f>
        <v>0</v>
      </c>
      <c r="J154" s="225">
        <f>SUM(J155:J156)</f>
        <v>27873911</v>
      </c>
      <c r="K154" s="225">
        <f>SUM(K155:K156)</f>
        <v>0</v>
      </c>
      <c r="L154" s="225">
        <f>SUM(L155:L156)</f>
        <v>27675456.140000001</v>
      </c>
      <c r="M154" s="226">
        <f t="shared" si="117"/>
        <v>0.99288026499044213</v>
      </c>
      <c r="N154" s="226">
        <f t="shared" si="118"/>
        <v>0</v>
      </c>
      <c r="O154" s="226">
        <f t="shared" ref="O154:O217" si="125">IFERROR(((L154-Q154)/Q154),0)</f>
        <v>0</v>
      </c>
      <c r="P154" s="225">
        <f>SUM(P155:P156)</f>
        <v>12</v>
      </c>
      <c r="Q154" s="225">
        <v>27675456.140000001</v>
      </c>
      <c r="R154" s="226">
        <v>0.99288026499044213</v>
      </c>
      <c r="S154" s="225">
        <f>SUM(S155:S156)</f>
        <v>27675456.140000001</v>
      </c>
      <c r="T154" s="226">
        <f t="shared" si="119"/>
        <v>0.99288026499044213</v>
      </c>
      <c r="U154" s="226">
        <f t="shared" si="120"/>
        <v>0</v>
      </c>
      <c r="V154" s="226">
        <f t="shared" ref="V154:V217" si="126">IFERROR(((S154-X154)/X154),0)</f>
        <v>0</v>
      </c>
      <c r="W154" s="225">
        <f>SUM(W155:W156)</f>
        <v>12</v>
      </c>
      <c r="X154" s="225">
        <v>27675456.140000001</v>
      </c>
      <c r="Y154" s="226">
        <v>0.99288026499044213</v>
      </c>
      <c r="Z154" s="225">
        <f>SUM(Z155:Z156)</f>
        <v>27675456.140000001</v>
      </c>
      <c r="AA154" s="226">
        <f t="shared" si="121"/>
        <v>0.99288026499044213</v>
      </c>
      <c r="AB154" s="226">
        <f t="shared" si="122"/>
        <v>0</v>
      </c>
      <c r="AC154" s="226">
        <f t="shared" si="115"/>
        <v>0</v>
      </c>
      <c r="AD154" s="225">
        <f>SUM(AD155:AD156)</f>
        <v>12</v>
      </c>
      <c r="AE154" s="225">
        <v>27675456.140000001</v>
      </c>
      <c r="AF154" s="226">
        <v>0.99288026499044213</v>
      </c>
      <c r="AG154" s="225">
        <f>SUM(AG155:AG156)</f>
        <v>27675456.140000001</v>
      </c>
      <c r="AH154" s="226">
        <f t="shared" si="123"/>
        <v>0.99288026499044213</v>
      </c>
      <c r="AI154" s="226">
        <f t="shared" si="124"/>
        <v>0</v>
      </c>
      <c r="AJ154" s="226">
        <f t="shared" si="116"/>
        <v>0</v>
      </c>
      <c r="AK154" s="225">
        <v>27675456.140000001</v>
      </c>
      <c r="AL154" s="226">
        <v>0.99288026499044213</v>
      </c>
    </row>
    <row r="155" spans="1:38" ht="39" customHeight="1" x14ac:dyDescent="0.3">
      <c r="A155" s="255" t="s">
        <v>447</v>
      </c>
      <c r="B155" s="256" t="str">
        <f>VLOOKUP(A155,saīsinājumi_LV_ENG!A:G,5,FALSE)</f>
        <v>Kompetenču pieejas satura aprobācija</v>
      </c>
      <c r="C155" s="12" t="s">
        <v>203</v>
      </c>
      <c r="D155" s="12"/>
      <c r="E155" s="40" t="str">
        <f>Pasākumu_līmenis!D106</f>
        <v>ESF</v>
      </c>
      <c r="F155" s="40" t="str">
        <f>Pasākumu_līmenis!E106</f>
        <v>IZM</v>
      </c>
      <c r="G155" s="279" t="str">
        <f>VLOOKUP(A155,'2. Intervences kategorijas - Pa'!B:D,2,FALSE)</f>
        <v>10 - Veikt investīcijas izglītībā, apmācībā un profesionālajā apmācībā prasmju ieguvei, kā arī mūžizglītībā</v>
      </c>
      <c r="H155" s="182">
        <f>Pasākumu_līmenis!F106</f>
        <v>26768000</v>
      </c>
      <c r="I155" s="182">
        <f>Pasākumu_līmenis!G106</f>
        <v>0</v>
      </c>
      <c r="J155" s="182">
        <f>Pasākumu_līmenis!H106</f>
        <v>26768000</v>
      </c>
      <c r="K155" s="182">
        <f>Pasākumu_līmenis!I106</f>
        <v>0</v>
      </c>
      <c r="L155" s="182">
        <f>Pasākumu_līmenis!J106</f>
        <v>26615060.350000001</v>
      </c>
      <c r="M155" s="179">
        <f t="shared" si="117"/>
        <v>0.99428647452181718</v>
      </c>
      <c r="N155" s="179">
        <f t="shared" si="118"/>
        <v>0</v>
      </c>
      <c r="O155" s="179">
        <f t="shared" si="125"/>
        <v>0</v>
      </c>
      <c r="P155" s="182">
        <f>Pasākumu_līmenis!N106</f>
        <v>1</v>
      </c>
      <c r="Q155" s="182">
        <v>26615060.350000001</v>
      </c>
      <c r="R155" s="179">
        <v>0.99428647452181718</v>
      </c>
      <c r="S155" s="182">
        <f>Pasākumu_līmenis!Q106</f>
        <v>26615060.350000001</v>
      </c>
      <c r="T155" s="172">
        <f t="shared" si="119"/>
        <v>0.99428647452181718</v>
      </c>
      <c r="U155" s="172">
        <f t="shared" si="120"/>
        <v>0</v>
      </c>
      <c r="V155" s="172">
        <f t="shared" si="126"/>
        <v>0</v>
      </c>
      <c r="W155" s="182">
        <f>Pasākumu_līmenis!U106</f>
        <v>1</v>
      </c>
      <c r="X155" s="182">
        <v>26615060.350000001</v>
      </c>
      <c r="Y155" s="172">
        <v>0.99428647452181718</v>
      </c>
      <c r="Z155" s="171">
        <f>Pasākumu_līmenis!X106</f>
        <v>26615060.350000001</v>
      </c>
      <c r="AA155" s="172">
        <f t="shared" si="121"/>
        <v>0.99428647452181718</v>
      </c>
      <c r="AB155" s="172">
        <f t="shared" si="122"/>
        <v>0</v>
      </c>
      <c r="AC155" s="172">
        <f t="shared" si="115"/>
        <v>0</v>
      </c>
      <c r="AD155" s="182">
        <f>Pasākumu_līmenis!AB106</f>
        <v>1</v>
      </c>
      <c r="AE155" s="171">
        <v>26615060.350000001</v>
      </c>
      <c r="AF155" s="172">
        <v>0.99428647452181718</v>
      </c>
      <c r="AG155" s="171">
        <f>Pasākumu_līmenis!AE106</f>
        <v>26615060.350000001</v>
      </c>
      <c r="AH155" s="172">
        <f t="shared" si="123"/>
        <v>0.99428647452181718</v>
      </c>
      <c r="AI155" s="172">
        <f t="shared" si="124"/>
        <v>0</v>
      </c>
      <c r="AJ155" s="172">
        <f t="shared" si="116"/>
        <v>0</v>
      </c>
      <c r="AK155" s="171">
        <v>26615060.350000001</v>
      </c>
      <c r="AL155" s="172">
        <v>0.99428647452181718</v>
      </c>
    </row>
    <row r="156" spans="1:38" ht="21" customHeight="1" x14ac:dyDescent="0.3">
      <c r="A156" s="255" t="s">
        <v>312</v>
      </c>
      <c r="B156" s="256" t="str">
        <f>VLOOKUP(A156,saīsinājumi_LV_ENG!A:G,5,FALSE)</f>
        <v>Digitālo līdzekļu izstrāde</v>
      </c>
      <c r="C156" s="12" t="s">
        <v>204</v>
      </c>
      <c r="D156" s="12"/>
      <c r="E156" s="40" t="str">
        <f>Pasākumu_līmenis!D107</f>
        <v>ESF</v>
      </c>
      <c r="F156" s="40" t="str">
        <f>Pasākumu_līmenis!E107</f>
        <v>IZM</v>
      </c>
      <c r="G156" s="279" t="str">
        <f>VLOOKUP(A156,'2. Intervences kategorijas - Pa'!B:D,2,FALSE)</f>
        <v>10 - Veikt investīcijas izglītībā, apmācībā un profesionālajā apmācībā prasmju ieguvei, kā arī mūžizglītībā</v>
      </c>
      <c r="H156" s="182">
        <f>Pasākumu_līmenis!F107</f>
        <v>1105911</v>
      </c>
      <c r="I156" s="182">
        <f>Pasākumu_līmenis!G107</f>
        <v>0</v>
      </c>
      <c r="J156" s="182">
        <f>Pasākumu_līmenis!H107</f>
        <v>1105911</v>
      </c>
      <c r="K156" s="182">
        <f>Pasākumu_līmenis!I107</f>
        <v>0</v>
      </c>
      <c r="L156" s="182">
        <f>Pasākumu_līmenis!J107</f>
        <v>1060395.79</v>
      </c>
      <c r="M156" s="179">
        <f t="shared" si="117"/>
        <v>0.95884369537874203</v>
      </c>
      <c r="N156" s="179">
        <f t="shared" si="118"/>
        <v>0</v>
      </c>
      <c r="O156" s="179">
        <f t="shared" si="125"/>
        <v>0</v>
      </c>
      <c r="P156" s="182">
        <f>Pasākumu_līmenis!N107</f>
        <v>11</v>
      </c>
      <c r="Q156" s="182">
        <v>1060395.79</v>
      </c>
      <c r="R156" s="179">
        <v>0.95884369537874203</v>
      </c>
      <c r="S156" s="182">
        <f>Pasākumu_līmenis!Q107</f>
        <v>1060395.79</v>
      </c>
      <c r="T156" s="172">
        <f t="shared" si="119"/>
        <v>0.95884369537874203</v>
      </c>
      <c r="U156" s="172">
        <f t="shared" si="120"/>
        <v>0</v>
      </c>
      <c r="V156" s="172">
        <f t="shared" si="126"/>
        <v>0</v>
      </c>
      <c r="W156" s="182">
        <f>Pasākumu_līmenis!U107</f>
        <v>11</v>
      </c>
      <c r="X156" s="182">
        <v>1060395.79</v>
      </c>
      <c r="Y156" s="172">
        <v>0.95884369537874203</v>
      </c>
      <c r="Z156" s="171">
        <f>Pasākumu_līmenis!X107</f>
        <v>1060395.79</v>
      </c>
      <c r="AA156" s="172">
        <f t="shared" si="121"/>
        <v>0.95884369537874203</v>
      </c>
      <c r="AB156" s="172">
        <f t="shared" si="122"/>
        <v>0</v>
      </c>
      <c r="AC156" s="172">
        <f t="shared" si="115"/>
        <v>0</v>
      </c>
      <c r="AD156" s="182">
        <f>Pasākumu_līmenis!AB107</f>
        <v>11</v>
      </c>
      <c r="AE156" s="171">
        <v>1060395.79</v>
      </c>
      <c r="AF156" s="172">
        <v>0.95884369537874203</v>
      </c>
      <c r="AG156" s="171">
        <f>Pasākumu_līmenis!AE107</f>
        <v>1060395.79</v>
      </c>
      <c r="AH156" s="172">
        <f t="shared" si="123"/>
        <v>0.95884369537874203</v>
      </c>
      <c r="AI156" s="172">
        <f t="shared" si="124"/>
        <v>0</v>
      </c>
      <c r="AJ156" s="172">
        <f t="shared" si="116"/>
        <v>0</v>
      </c>
      <c r="AK156" s="171">
        <v>1060395.79</v>
      </c>
      <c r="AL156" s="172">
        <v>0.95884369537874203</v>
      </c>
    </row>
    <row r="157" spans="1:38" ht="39.75" customHeight="1" x14ac:dyDescent="0.3">
      <c r="A157" s="253" t="s">
        <v>448</v>
      </c>
      <c r="B157" s="254" t="str">
        <f>VLOOKUP(A157,saīsinājumi_LV_ENG!A:G,5,FALSE)</f>
        <v>Individuālo kompetenču attīstība vispārējā izglītībā</v>
      </c>
      <c r="C157" s="222" t="s">
        <v>114</v>
      </c>
      <c r="D157" s="222"/>
      <c r="E157" s="224"/>
      <c r="F157" s="224"/>
      <c r="G157" s="278"/>
      <c r="H157" s="237">
        <f>SUM(H158:H159)</f>
        <v>34361700</v>
      </c>
      <c r="I157" s="237">
        <f>SUM(I158:I159)</f>
        <v>0</v>
      </c>
      <c r="J157" s="237">
        <f>SUM(J158:J159)</f>
        <v>34361700</v>
      </c>
      <c r="K157" s="237">
        <f>SUM(K158:K159)</f>
        <v>0</v>
      </c>
      <c r="L157" s="237">
        <f>SUM(L158:L159)</f>
        <v>33985944.43</v>
      </c>
      <c r="M157" s="234">
        <f t="shared" si="117"/>
        <v>0.9890646979049349</v>
      </c>
      <c r="N157" s="234">
        <f t="shared" si="118"/>
        <v>0</v>
      </c>
      <c r="O157" s="234">
        <f t="shared" si="125"/>
        <v>0</v>
      </c>
      <c r="P157" s="237">
        <f>SUM(P158:P159)</f>
        <v>2</v>
      </c>
      <c r="Q157" s="237">
        <v>33985944.43</v>
      </c>
      <c r="R157" s="234">
        <v>0.9890646979049349</v>
      </c>
      <c r="S157" s="237">
        <f>SUM(S158:S159)</f>
        <v>33985944.43</v>
      </c>
      <c r="T157" s="226">
        <f t="shared" si="119"/>
        <v>0.9890646979049349</v>
      </c>
      <c r="U157" s="226">
        <f t="shared" si="120"/>
        <v>0</v>
      </c>
      <c r="V157" s="226">
        <f t="shared" si="126"/>
        <v>0</v>
      </c>
      <c r="W157" s="237">
        <f>SUM(W158:W159)</f>
        <v>2</v>
      </c>
      <c r="X157" s="237">
        <v>33985944.43</v>
      </c>
      <c r="Y157" s="226">
        <v>0.9890646979049349</v>
      </c>
      <c r="Z157" s="225">
        <f>SUM(Z158:Z159)</f>
        <v>33985944.43</v>
      </c>
      <c r="AA157" s="226">
        <f t="shared" si="121"/>
        <v>0.9890646979049349</v>
      </c>
      <c r="AB157" s="226">
        <f t="shared" si="122"/>
        <v>0</v>
      </c>
      <c r="AC157" s="226">
        <f t="shared" si="115"/>
        <v>0</v>
      </c>
      <c r="AD157" s="237">
        <f>SUM(AD158:AD159)</f>
        <v>2</v>
      </c>
      <c r="AE157" s="225">
        <v>33985944.43</v>
      </c>
      <c r="AF157" s="226">
        <v>0.9890646979049349</v>
      </c>
      <c r="AG157" s="225">
        <f>SUM(AG158:AG159)</f>
        <v>33985944.43</v>
      </c>
      <c r="AH157" s="226">
        <f t="shared" si="123"/>
        <v>0.9890646979049349</v>
      </c>
      <c r="AI157" s="226">
        <f t="shared" si="124"/>
        <v>0</v>
      </c>
      <c r="AJ157" s="226">
        <f t="shared" si="116"/>
        <v>0</v>
      </c>
      <c r="AK157" s="225">
        <v>33985944.43</v>
      </c>
      <c r="AL157" s="226">
        <v>0.9890646979049349</v>
      </c>
    </row>
    <row r="158" spans="1:38" ht="21" customHeight="1" x14ac:dyDescent="0.3">
      <c r="A158" s="255" t="s">
        <v>313</v>
      </c>
      <c r="B158" s="256" t="str">
        <f>VLOOKUP(A158,saīsinājumi_LV_ENG!A:G,5,FALSE)</f>
        <v>Izglītojamo talantu attīstība</v>
      </c>
      <c r="C158" s="12" t="s">
        <v>205</v>
      </c>
      <c r="D158" s="12"/>
      <c r="E158" s="40" t="str">
        <f>Pasākumu_līmenis!D108</f>
        <v>ESF</v>
      </c>
      <c r="F158" s="40" t="str">
        <f>Pasākumu_līmenis!E108</f>
        <v>IZM</v>
      </c>
      <c r="G158" s="279" t="str">
        <f>VLOOKUP(A158,'2. Intervences kategorijas - Pa'!B:D,2,FALSE)</f>
        <v>10 - Veikt investīcijas izglītībā, apmācībā un profesionālajā apmācībā prasmju ieguvei, kā arī mūžizglītībā</v>
      </c>
      <c r="H158" s="182">
        <f>Pasākumu_līmenis!F108</f>
        <v>3585597</v>
      </c>
      <c r="I158" s="182">
        <f>Pasākumu_līmenis!G108</f>
        <v>0</v>
      </c>
      <c r="J158" s="182">
        <f>Pasākumu_līmenis!H108</f>
        <v>3585597</v>
      </c>
      <c r="K158" s="182">
        <f>Pasākumu_līmenis!I108</f>
        <v>0</v>
      </c>
      <c r="L158" s="182">
        <f>Pasākumu_līmenis!J108</f>
        <v>3555368.62</v>
      </c>
      <c r="M158" s="179">
        <f t="shared" si="117"/>
        <v>0.99156949874734945</v>
      </c>
      <c r="N158" s="179">
        <f t="shared" si="118"/>
        <v>0</v>
      </c>
      <c r="O158" s="179">
        <f t="shared" si="125"/>
        <v>0</v>
      </c>
      <c r="P158" s="182">
        <f>Pasākumu_līmenis!N108</f>
        <v>1</v>
      </c>
      <c r="Q158" s="182">
        <v>3555368.62</v>
      </c>
      <c r="R158" s="179">
        <v>0.99156949874734945</v>
      </c>
      <c r="S158" s="182">
        <f>Pasākumu_līmenis!Q108</f>
        <v>3555368.62</v>
      </c>
      <c r="T158" s="172">
        <f t="shared" si="119"/>
        <v>0.99156949874734945</v>
      </c>
      <c r="U158" s="172">
        <f t="shared" si="120"/>
        <v>0</v>
      </c>
      <c r="V158" s="172">
        <f t="shared" si="126"/>
        <v>0</v>
      </c>
      <c r="W158" s="182">
        <f>Pasākumu_līmenis!U108</f>
        <v>1</v>
      </c>
      <c r="X158" s="182">
        <v>3555368.62</v>
      </c>
      <c r="Y158" s="172">
        <v>0.99156949874734945</v>
      </c>
      <c r="Z158" s="171">
        <f>Pasākumu_līmenis!X108</f>
        <v>3555368.62</v>
      </c>
      <c r="AA158" s="172">
        <f t="shared" si="121"/>
        <v>0.99156949874734945</v>
      </c>
      <c r="AB158" s="172">
        <f t="shared" si="122"/>
        <v>0</v>
      </c>
      <c r="AC158" s="172">
        <f t="shared" si="115"/>
        <v>0</v>
      </c>
      <c r="AD158" s="182">
        <f>Pasākumu_līmenis!AB108</f>
        <v>1</v>
      </c>
      <c r="AE158" s="171">
        <v>3555368.62</v>
      </c>
      <c r="AF158" s="172">
        <v>0.99156949874734945</v>
      </c>
      <c r="AG158" s="171">
        <f>Pasākumu_līmenis!AE108</f>
        <v>3555368.62</v>
      </c>
      <c r="AH158" s="172">
        <f t="shared" si="123"/>
        <v>0.99156949874734945</v>
      </c>
      <c r="AI158" s="172">
        <f t="shared" si="124"/>
        <v>0</v>
      </c>
      <c r="AJ158" s="172">
        <f t="shared" si="116"/>
        <v>0</v>
      </c>
      <c r="AK158" s="171">
        <v>3555368.62</v>
      </c>
      <c r="AL158" s="172">
        <v>0.99156949874734945</v>
      </c>
    </row>
    <row r="159" spans="1:38" ht="21" customHeight="1" x14ac:dyDescent="0.3">
      <c r="A159" s="255" t="s">
        <v>314</v>
      </c>
      <c r="B159" s="256" t="str">
        <f>VLOOKUP(A159,saīsinājumi_LV_ENG!A:G,5,FALSE)</f>
        <v xml:space="preserve">Individuālo kompetenču attīstība </v>
      </c>
      <c r="C159" s="12" t="s">
        <v>206</v>
      </c>
      <c r="D159" s="12"/>
      <c r="E159" s="40" t="str">
        <f>Pasākumu_līmenis!D109</f>
        <v>ESF</v>
      </c>
      <c r="F159" s="40" t="str">
        <f>Pasākumu_līmenis!E109</f>
        <v>IZM</v>
      </c>
      <c r="G159" s="279" t="str">
        <f>VLOOKUP(A159,'2. Intervences kategorijas - Pa'!B:D,2,FALSE)</f>
        <v>10 - Veikt investīcijas izglītībā, apmācībā un profesionālajā apmācībā prasmju ieguvei, kā arī mūžizglītībā</v>
      </c>
      <c r="H159" s="182">
        <f>Pasākumu_līmenis!F109</f>
        <v>30776103</v>
      </c>
      <c r="I159" s="182">
        <f>Pasākumu_līmenis!G109</f>
        <v>0</v>
      </c>
      <c r="J159" s="182">
        <f>Pasākumu_līmenis!H109</f>
        <v>30776103</v>
      </c>
      <c r="K159" s="182">
        <f>Pasākumu_līmenis!I109</f>
        <v>0</v>
      </c>
      <c r="L159" s="182">
        <f>Pasākumu_līmenis!J109</f>
        <v>30430575.809999999</v>
      </c>
      <c r="M159" s="179">
        <f t="shared" si="117"/>
        <v>0.98877287387555202</v>
      </c>
      <c r="N159" s="179">
        <f t="shared" si="118"/>
        <v>0</v>
      </c>
      <c r="O159" s="179">
        <f t="shared" si="125"/>
        <v>0</v>
      </c>
      <c r="P159" s="182">
        <f>Pasākumu_līmenis!N109</f>
        <v>1</v>
      </c>
      <c r="Q159" s="182">
        <v>30430575.809999999</v>
      </c>
      <c r="R159" s="179">
        <v>0.98877287387555202</v>
      </c>
      <c r="S159" s="182">
        <f>Pasākumu_līmenis!Q109</f>
        <v>30430575.809999999</v>
      </c>
      <c r="T159" s="172">
        <f t="shared" si="119"/>
        <v>0.98877287387555202</v>
      </c>
      <c r="U159" s="172">
        <f t="shared" si="120"/>
        <v>0</v>
      </c>
      <c r="V159" s="172">
        <f t="shared" si="126"/>
        <v>0</v>
      </c>
      <c r="W159" s="182">
        <f>Pasākumu_līmenis!U109</f>
        <v>1</v>
      </c>
      <c r="X159" s="182">
        <v>30430575.809999999</v>
      </c>
      <c r="Y159" s="172">
        <v>0.98877287387555202</v>
      </c>
      <c r="Z159" s="171">
        <f>Pasākumu_līmenis!X109</f>
        <v>30430575.809999999</v>
      </c>
      <c r="AA159" s="172">
        <f t="shared" si="121"/>
        <v>0.98877287387555202</v>
      </c>
      <c r="AB159" s="172">
        <f t="shared" si="122"/>
        <v>0</v>
      </c>
      <c r="AC159" s="172">
        <f t="shared" si="115"/>
        <v>0</v>
      </c>
      <c r="AD159" s="182">
        <f>Pasākumu_līmenis!AB109</f>
        <v>1</v>
      </c>
      <c r="AE159" s="171">
        <v>30430575.809999999</v>
      </c>
      <c r="AF159" s="172">
        <v>0.98877287387555202</v>
      </c>
      <c r="AG159" s="171">
        <f>Pasākumu_līmenis!AE109</f>
        <v>30430575.809999999</v>
      </c>
      <c r="AH159" s="172">
        <f t="shared" si="123"/>
        <v>0.98877287387555202</v>
      </c>
      <c r="AI159" s="172">
        <f t="shared" si="124"/>
        <v>0</v>
      </c>
      <c r="AJ159" s="172">
        <f t="shared" si="116"/>
        <v>0</v>
      </c>
      <c r="AK159" s="171">
        <v>30430575.809999999</v>
      </c>
      <c r="AL159" s="172">
        <v>0.98877287387555202</v>
      </c>
    </row>
    <row r="160" spans="1:38" ht="39.75" customHeight="1" x14ac:dyDescent="0.3">
      <c r="A160" s="257" t="s">
        <v>315</v>
      </c>
      <c r="B160" s="256" t="str">
        <f>VLOOKUP(A160,saīsinājumi_LV_ENG!A:G,5,FALSE)</f>
        <v>NEET jauniešu prasmju attīstīšana</v>
      </c>
      <c r="C160" s="12" t="s">
        <v>115</v>
      </c>
      <c r="D160" s="12"/>
      <c r="E160" s="40" t="str">
        <f>Pasākumu_līmenis!D110</f>
        <v>ESF</v>
      </c>
      <c r="F160" s="40" t="str">
        <f>Pasākumu_līmenis!E110</f>
        <v>IZM</v>
      </c>
      <c r="G160" s="279" t="str">
        <f>VLOOKUP(A160,'2. Intervences kategorijas - Pa'!B:D,2,FALSE)</f>
        <v>10 - Veikt investīcijas izglītībā, apmācībā un profesionālajā apmācībā prasmju ieguvei, kā arī mūžizglītībā</v>
      </c>
      <c r="H160" s="182">
        <f>Pasākumu_līmenis!F110</f>
        <v>7191280</v>
      </c>
      <c r="I160" s="182">
        <f>Pasākumu_līmenis!G110</f>
        <v>0</v>
      </c>
      <c r="J160" s="182">
        <f>Pasākumu_līmenis!H110</f>
        <v>7191280</v>
      </c>
      <c r="K160" s="182">
        <f>Pasākumu_līmenis!I110</f>
        <v>0</v>
      </c>
      <c r="L160" s="182">
        <f>Pasākumu_līmenis!J110</f>
        <v>7172086.4199999999</v>
      </c>
      <c r="M160" s="179">
        <f t="shared" si="117"/>
        <v>0.99733099253540403</v>
      </c>
      <c r="N160" s="179">
        <f t="shared" si="118"/>
        <v>0</v>
      </c>
      <c r="O160" s="179">
        <f t="shared" si="125"/>
        <v>0</v>
      </c>
      <c r="P160" s="182">
        <f>Pasākumu_līmenis!N110</f>
        <v>1</v>
      </c>
      <c r="Q160" s="182">
        <v>7172086.4199999999</v>
      </c>
      <c r="R160" s="179">
        <v>0.99733099253540403</v>
      </c>
      <c r="S160" s="182">
        <f>Pasākumu_līmenis!Q110</f>
        <v>7172086.4199999999</v>
      </c>
      <c r="T160" s="172">
        <f t="shared" si="119"/>
        <v>0.99733099253540403</v>
      </c>
      <c r="U160" s="172">
        <f t="shared" si="120"/>
        <v>0</v>
      </c>
      <c r="V160" s="172">
        <f t="shared" si="126"/>
        <v>0</v>
      </c>
      <c r="W160" s="182">
        <f>Pasākumu_līmenis!U110</f>
        <v>1</v>
      </c>
      <c r="X160" s="182">
        <v>7172086.4199999999</v>
      </c>
      <c r="Y160" s="172">
        <v>0.99733099253540403</v>
      </c>
      <c r="Z160" s="171">
        <f>Pasākumu_līmenis!X110</f>
        <v>7172086.4199999999</v>
      </c>
      <c r="AA160" s="172">
        <f t="shared" si="121"/>
        <v>0.99733099253540403</v>
      </c>
      <c r="AB160" s="172">
        <f t="shared" si="122"/>
        <v>0</v>
      </c>
      <c r="AC160" s="172">
        <f t="shared" si="115"/>
        <v>0</v>
      </c>
      <c r="AD160" s="182">
        <f>Pasākumu_līmenis!AB110</f>
        <v>1</v>
      </c>
      <c r="AE160" s="171">
        <v>7172086.4199999999</v>
      </c>
      <c r="AF160" s="172">
        <v>0.99733099253540403</v>
      </c>
      <c r="AG160" s="171">
        <f>Pasākumu_līmenis!AE110</f>
        <v>7172086.4199999999</v>
      </c>
      <c r="AH160" s="172">
        <f t="shared" si="123"/>
        <v>0.99733099253540403</v>
      </c>
      <c r="AI160" s="172">
        <f t="shared" si="124"/>
        <v>0</v>
      </c>
      <c r="AJ160" s="172">
        <f t="shared" si="116"/>
        <v>0</v>
      </c>
      <c r="AK160" s="171">
        <v>7172086.4199999999</v>
      </c>
      <c r="AL160" s="172">
        <v>0.99733099253540403</v>
      </c>
    </row>
    <row r="161" spans="1:38" ht="39.75" customHeight="1" x14ac:dyDescent="0.3">
      <c r="A161" s="257" t="s">
        <v>316</v>
      </c>
      <c r="B161" s="256" t="str">
        <f>VLOOKUP(A161,saīsinājumi_LV_ENG!A:G,5,FALSE)</f>
        <v>Priekšlaicīgas mācību pārtraukšanas samazināšana</v>
      </c>
      <c r="C161" s="12" t="s">
        <v>116</v>
      </c>
      <c r="D161" s="12"/>
      <c r="E161" s="40" t="str">
        <f>Pasākumu_līmenis!D111</f>
        <v>ESF</v>
      </c>
      <c r="F161" s="40" t="str">
        <f>Pasākumu_līmenis!E111</f>
        <v>IZM</v>
      </c>
      <c r="G161" s="279" t="str">
        <f>VLOOKUP(A161,'2. Intervences kategorijas - Pa'!B:D,2,FALSE)</f>
        <v>10 - Veikt investīcijas izglītībā, apmācībā un profesionālajā apmācībā prasmju ieguvei, kā arī mūžizglītībā</v>
      </c>
      <c r="H161" s="182">
        <f>Pasākumu_līmenis!F111</f>
        <v>30727948</v>
      </c>
      <c r="I161" s="182">
        <f>Pasākumu_līmenis!G111</f>
        <v>0</v>
      </c>
      <c r="J161" s="182">
        <f>Pasākumu_līmenis!H111</f>
        <v>30727948</v>
      </c>
      <c r="K161" s="182">
        <f>Pasākumu_līmenis!I111</f>
        <v>0</v>
      </c>
      <c r="L161" s="182">
        <f>Pasākumu_līmenis!J111</f>
        <v>30166486.23</v>
      </c>
      <c r="M161" s="179">
        <f t="shared" si="117"/>
        <v>0.9817279770845746</v>
      </c>
      <c r="N161" s="179">
        <f t="shared" si="118"/>
        <v>0</v>
      </c>
      <c r="O161" s="179">
        <f t="shared" si="125"/>
        <v>0</v>
      </c>
      <c r="P161" s="182">
        <f>Pasākumu_līmenis!N111</f>
        <v>1</v>
      </c>
      <c r="Q161" s="182">
        <v>30166486.23</v>
      </c>
      <c r="R161" s="179">
        <v>0.9817279770845746</v>
      </c>
      <c r="S161" s="182">
        <f>Pasākumu_līmenis!Q111</f>
        <v>30166486.23</v>
      </c>
      <c r="T161" s="172">
        <f t="shared" si="119"/>
        <v>0.9817279770845746</v>
      </c>
      <c r="U161" s="172">
        <f t="shared" si="120"/>
        <v>0</v>
      </c>
      <c r="V161" s="172">
        <f t="shared" si="126"/>
        <v>0</v>
      </c>
      <c r="W161" s="182">
        <f>Pasākumu_līmenis!U111</f>
        <v>1</v>
      </c>
      <c r="X161" s="182">
        <v>30166486.23</v>
      </c>
      <c r="Y161" s="172">
        <v>0.9817279770845746</v>
      </c>
      <c r="Z161" s="171">
        <f>Pasākumu_līmenis!X111</f>
        <v>30166486.23</v>
      </c>
      <c r="AA161" s="172">
        <f t="shared" si="121"/>
        <v>0.9817279770845746</v>
      </c>
      <c r="AB161" s="172">
        <f t="shared" si="122"/>
        <v>0</v>
      </c>
      <c r="AC161" s="172">
        <f t="shared" si="115"/>
        <v>0</v>
      </c>
      <c r="AD161" s="182">
        <f>Pasākumu_līmenis!AB111</f>
        <v>1</v>
      </c>
      <c r="AE161" s="171">
        <v>30166486.23</v>
      </c>
      <c r="AF161" s="172">
        <v>0.9817279770845746</v>
      </c>
      <c r="AG161" s="171">
        <f>Pasākumu_līmenis!AE111</f>
        <v>30166486.23</v>
      </c>
      <c r="AH161" s="172">
        <f t="shared" si="123"/>
        <v>0.9817279770845746</v>
      </c>
      <c r="AI161" s="172">
        <f t="shared" si="124"/>
        <v>0</v>
      </c>
      <c r="AJ161" s="172">
        <f t="shared" si="116"/>
        <v>0</v>
      </c>
      <c r="AK161" s="171">
        <v>30166486.23</v>
      </c>
      <c r="AL161" s="172">
        <v>0.9817279770845746</v>
      </c>
    </row>
    <row r="162" spans="1:38" ht="21" customHeight="1" x14ac:dyDescent="0.3">
      <c r="A162" s="257" t="s">
        <v>317</v>
      </c>
      <c r="B162" s="256" t="str">
        <f>VLOOKUP(A162,saīsinājumi_LV_ENG!A:G,5,FALSE)</f>
        <v>Karjeras pieejas uzlabošana</v>
      </c>
      <c r="C162" s="12" t="s">
        <v>117</v>
      </c>
      <c r="D162" s="12"/>
      <c r="E162" s="40" t="str">
        <f>Pasākumu_līmenis!D112</f>
        <v>ESF</v>
      </c>
      <c r="F162" s="40" t="str">
        <f>Pasākumu_līmenis!E112</f>
        <v>IZM</v>
      </c>
      <c r="G162" s="279" t="str">
        <f>VLOOKUP(A162,'2. Intervences kategorijas - Pa'!B:D,2,FALSE)</f>
        <v>10 - Veikt investīcijas izglītībā, apmācībā un profesionālajā apmācībā prasmju ieguvei, kā arī mūžizglītībā</v>
      </c>
      <c r="H162" s="182">
        <f>Pasākumu_līmenis!F112</f>
        <v>20075865</v>
      </c>
      <c r="I162" s="182">
        <f>Pasākumu_līmenis!G112</f>
        <v>0</v>
      </c>
      <c r="J162" s="182">
        <f>Pasākumu_līmenis!H112</f>
        <v>20075865</v>
      </c>
      <c r="K162" s="182">
        <f>Pasākumu_līmenis!I112</f>
        <v>1219986</v>
      </c>
      <c r="L162" s="182">
        <f>Pasākumu_līmenis!J112</f>
        <v>19942396.420000002</v>
      </c>
      <c r="M162" s="179">
        <f t="shared" si="117"/>
        <v>0.99335178932514245</v>
      </c>
      <c r="N162" s="179">
        <f t="shared" si="118"/>
        <v>0</v>
      </c>
      <c r="O162" s="179">
        <f t="shared" si="125"/>
        <v>0</v>
      </c>
      <c r="P162" s="182">
        <f>Pasākumu_līmenis!N112</f>
        <v>1</v>
      </c>
      <c r="Q162" s="182">
        <v>19942396.420000002</v>
      </c>
      <c r="R162" s="179">
        <v>0.99335178932514245</v>
      </c>
      <c r="S162" s="182">
        <f>Pasākumu_līmenis!Q112</f>
        <v>19942396.420000002</v>
      </c>
      <c r="T162" s="172">
        <f t="shared" si="119"/>
        <v>0.99335178932514245</v>
      </c>
      <c r="U162" s="172">
        <f t="shared" si="120"/>
        <v>0</v>
      </c>
      <c r="V162" s="172">
        <f t="shared" si="126"/>
        <v>0</v>
      </c>
      <c r="W162" s="182">
        <f>Pasākumu_līmenis!U112</f>
        <v>1</v>
      </c>
      <c r="X162" s="182">
        <v>19942396.420000002</v>
      </c>
      <c r="Y162" s="172">
        <v>0.99335178932514245</v>
      </c>
      <c r="Z162" s="171">
        <f>Pasākumu_līmenis!X112</f>
        <v>19942396.420000002</v>
      </c>
      <c r="AA162" s="172">
        <f t="shared" si="121"/>
        <v>0.99335178932514245</v>
      </c>
      <c r="AB162" s="172">
        <f t="shared" si="122"/>
        <v>0</v>
      </c>
      <c r="AC162" s="172">
        <f t="shared" si="115"/>
        <v>0</v>
      </c>
      <c r="AD162" s="182">
        <f>Pasākumu_līmenis!AB112</f>
        <v>1</v>
      </c>
      <c r="AE162" s="171">
        <v>19942396.420000002</v>
      </c>
      <c r="AF162" s="172">
        <v>0.99335178932514245</v>
      </c>
      <c r="AG162" s="171">
        <f>Pasākumu_līmenis!AE112</f>
        <v>19942396.420000002</v>
      </c>
      <c r="AH162" s="172">
        <f t="shared" si="123"/>
        <v>0.99335178932514245</v>
      </c>
      <c r="AI162" s="172">
        <f t="shared" si="124"/>
        <v>0</v>
      </c>
      <c r="AJ162" s="172">
        <f t="shared" si="116"/>
        <v>0</v>
      </c>
      <c r="AK162" s="171">
        <v>19942396.420000002</v>
      </c>
      <c r="AL162" s="172">
        <v>0.99335178932514245</v>
      </c>
    </row>
    <row r="163" spans="1:38" ht="39.75" customHeight="1" x14ac:dyDescent="0.3">
      <c r="A163" s="253" t="s">
        <v>449</v>
      </c>
      <c r="B163" s="254" t="str">
        <f>VLOOKUP(A163,saīsinājumi_LV_ENG!A:G,5,FALSE)</f>
        <v>Kvalitātes monitoringa sistēmas ieviešana</v>
      </c>
      <c r="C163" s="222" t="s">
        <v>118</v>
      </c>
      <c r="D163" s="222"/>
      <c r="E163" s="224"/>
      <c r="F163" s="224"/>
      <c r="G163" s="278"/>
      <c r="H163" s="237">
        <f>SUM(H164:H165)</f>
        <v>9560612</v>
      </c>
      <c r="I163" s="237">
        <f>SUM(I164:I165)</f>
        <v>0</v>
      </c>
      <c r="J163" s="237">
        <f>SUM(J164:J165)</f>
        <v>9560612</v>
      </c>
      <c r="K163" s="237">
        <f>SUM(K164:K165)</f>
        <v>0</v>
      </c>
      <c r="L163" s="237">
        <f>SUM(L164:L165)</f>
        <v>9439055.5999999996</v>
      </c>
      <c r="M163" s="234">
        <f t="shared" si="117"/>
        <v>0.98728570932488413</v>
      </c>
      <c r="N163" s="234">
        <f t="shared" si="118"/>
        <v>0</v>
      </c>
      <c r="O163" s="234">
        <f t="shared" si="125"/>
        <v>0</v>
      </c>
      <c r="P163" s="237">
        <f>SUM(P164:P165)</f>
        <v>2</v>
      </c>
      <c r="Q163" s="237">
        <v>9439055.5999999996</v>
      </c>
      <c r="R163" s="234">
        <v>0.98728570932488413</v>
      </c>
      <c r="S163" s="237">
        <f>SUM(S164:S165)</f>
        <v>9439055.5999999996</v>
      </c>
      <c r="T163" s="226">
        <f t="shared" si="119"/>
        <v>0.98728570932488413</v>
      </c>
      <c r="U163" s="226">
        <f t="shared" si="120"/>
        <v>0</v>
      </c>
      <c r="V163" s="226">
        <f t="shared" si="126"/>
        <v>0</v>
      </c>
      <c r="W163" s="237">
        <f>SUM(W164:W165)</f>
        <v>2</v>
      </c>
      <c r="X163" s="237">
        <v>9439055.5999999996</v>
      </c>
      <c r="Y163" s="226">
        <v>0.98728570932488413</v>
      </c>
      <c r="Z163" s="225">
        <f>SUM(Z164:Z165)</f>
        <v>9439055.5999999996</v>
      </c>
      <c r="AA163" s="226">
        <f t="shared" si="121"/>
        <v>0.98728570932488413</v>
      </c>
      <c r="AB163" s="226">
        <f t="shared" si="122"/>
        <v>0</v>
      </c>
      <c r="AC163" s="226">
        <f t="shared" si="115"/>
        <v>0</v>
      </c>
      <c r="AD163" s="237">
        <f>SUM(AD164:AD165)</f>
        <v>2</v>
      </c>
      <c r="AE163" s="225">
        <v>9439055.5999999996</v>
      </c>
      <c r="AF163" s="226">
        <v>0.98728570932488413</v>
      </c>
      <c r="AG163" s="225">
        <f>SUM(AG164:AG165)</f>
        <v>9439055.5999999996</v>
      </c>
      <c r="AH163" s="226">
        <f t="shared" si="123"/>
        <v>0.98728570932488413</v>
      </c>
      <c r="AI163" s="226">
        <f t="shared" si="124"/>
        <v>0</v>
      </c>
      <c r="AJ163" s="226">
        <f t="shared" si="116"/>
        <v>0</v>
      </c>
      <c r="AK163" s="225">
        <v>9439055.5999999996</v>
      </c>
      <c r="AL163" s="226">
        <v>0.98728570932488413</v>
      </c>
    </row>
    <row r="164" spans="1:38" ht="21" customHeight="1" x14ac:dyDescent="0.3">
      <c r="A164" s="255" t="s">
        <v>318</v>
      </c>
      <c r="B164" s="256" t="str">
        <f>VLOOKUP(A164,saīsinājumi_LV_ENG!A:G,5,FALSE)</f>
        <v>Starptautiskie pētījumi</v>
      </c>
      <c r="C164" s="12" t="s">
        <v>207</v>
      </c>
      <c r="D164" s="12"/>
      <c r="E164" s="40" t="str">
        <f>Pasākumu_līmenis!D113</f>
        <v>ESF</v>
      </c>
      <c r="F164" s="40" t="str">
        <f>Pasākumu_līmenis!E113</f>
        <v>IZM</v>
      </c>
      <c r="G164" s="279" t="str">
        <f>VLOOKUP(A164,'2. Intervences kategorijas - Pa'!B:D,2,FALSE)</f>
        <v>10 - Veikt investīcijas izglītībā, apmācībā un profesionālajā apmācībā prasmju ieguvei, kā arī mūžizglītībā</v>
      </c>
      <c r="H164" s="182">
        <f>Pasākumu_līmenis!F113</f>
        <v>5765907</v>
      </c>
      <c r="I164" s="182">
        <f>Pasākumu_līmenis!G113</f>
        <v>0</v>
      </c>
      <c r="J164" s="182">
        <f>Pasākumu_līmenis!H113</f>
        <v>5765907</v>
      </c>
      <c r="K164" s="182">
        <f>Pasākumu_līmenis!I113</f>
        <v>0</v>
      </c>
      <c r="L164" s="182">
        <f>Pasākumu_līmenis!J113</f>
        <v>5732007.0999999996</v>
      </c>
      <c r="M164" s="179">
        <f t="shared" si="117"/>
        <v>0.99412063011075269</v>
      </c>
      <c r="N164" s="179">
        <f t="shared" si="118"/>
        <v>0</v>
      </c>
      <c r="O164" s="179">
        <f t="shared" si="125"/>
        <v>0</v>
      </c>
      <c r="P164" s="182">
        <f>Pasākumu_līmenis!N113</f>
        <v>1</v>
      </c>
      <c r="Q164" s="182">
        <v>5732007.0999999996</v>
      </c>
      <c r="R164" s="179">
        <v>0.99412063011075269</v>
      </c>
      <c r="S164" s="182">
        <f>Pasākumu_līmenis!Q113</f>
        <v>5732007.0999999996</v>
      </c>
      <c r="T164" s="172">
        <f t="shared" si="119"/>
        <v>0.99412063011075269</v>
      </c>
      <c r="U164" s="172">
        <f t="shared" si="120"/>
        <v>0</v>
      </c>
      <c r="V164" s="172">
        <f t="shared" si="126"/>
        <v>0</v>
      </c>
      <c r="W164" s="182">
        <f>Pasākumu_līmenis!U113</f>
        <v>1</v>
      </c>
      <c r="X164" s="182">
        <v>5732007.0999999996</v>
      </c>
      <c r="Y164" s="172">
        <v>0.99412063011075269</v>
      </c>
      <c r="Z164" s="171">
        <f>Pasākumu_līmenis!X113</f>
        <v>5732007.0999999996</v>
      </c>
      <c r="AA164" s="172">
        <f t="shared" si="121"/>
        <v>0.99412063011075269</v>
      </c>
      <c r="AB164" s="172">
        <f t="shared" si="122"/>
        <v>0</v>
      </c>
      <c r="AC164" s="172">
        <f t="shared" si="115"/>
        <v>0</v>
      </c>
      <c r="AD164" s="182">
        <f>Pasākumu_līmenis!AB113</f>
        <v>1</v>
      </c>
      <c r="AE164" s="171">
        <v>5732007.0999999996</v>
      </c>
      <c r="AF164" s="172">
        <v>0.99412063011075269</v>
      </c>
      <c r="AG164" s="171">
        <f>Pasākumu_līmenis!AE113</f>
        <v>5732007.0999999996</v>
      </c>
      <c r="AH164" s="172">
        <f t="shared" si="123"/>
        <v>0.99412063011075269</v>
      </c>
      <c r="AI164" s="172">
        <f t="shared" si="124"/>
        <v>0</v>
      </c>
      <c r="AJ164" s="172">
        <f t="shared" si="116"/>
        <v>0</v>
      </c>
      <c r="AK164" s="171">
        <v>5732007.0999999996</v>
      </c>
      <c r="AL164" s="172">
        <v>0.99412063011075269</v>
      </c>
    </row>
    <row r="165" spans="1:38" ht="39.75" customHeight="1" x14ac:dyDescent="0.3">
      <c r="A165" s="255" t="s">
        <v>319</v>
      </c>
      <c r="B165" s="256" t="str">
        <f>VLOOKUP(A165,saīsinājumi_LV_ENG!A:G,5,FALSE)</f>
        <v>Izglītības kvalitātes monitoringa sistēma</v>
      </c>
      <c r="C165" s="12" t="s">
        <v>208</v>
      </c>
      <c r="D165" s="12"/>
      <c r="E165" s="40" t="str">
        <f>Pasākumu_līmenis!D114</f>
        <v>ESF</v>
      </c>
      <c r="F165" s="40" t="str">
        <f>Pasākumu_līmenis!E114</f>
        <v>IZM</v>
      </c>
      <c r="G165" s="279" t="str">
        <f>VLOOKUP(A165,'2. Intervences kategorijas - Pa'!B:D,2,FALSE)</f>
        <v>10 - Veikt investīcijas izglītībā, apmācībā un profesionālajā apmācībā prasmju ieguvei, kā arī mūžizglītībā</v>
      </c>
      <c r="H165" s="182">
        <f>Pasākumu_līmenis!F114</f>
        <v>3794705</v>
      </c>
      <c r="I165" s="182">
        <f>Pasākumu_līmenis!G114</f>
        <v>0</v>
      </c>
      <c r="J165" s="182">
        <f>Pasākumu_līmenis!H114</f>
        <v>3794705</v>
      </c>
      <c r="K165" s="182">
        <f>Pasākumu_līmenis!I114</f>
        <v>0</v>
      </c>
      <c r="L165" s="182">
        <f>Pasākumu_līmenis!J114</f>
        <v>3707048.5</v>
      </c>
      <c r="M165" s="179">
        <f t="shared" si="117"/>
        <v>0.97690031240900144</v>
      </c>
      <c r="N165" s="179">
        <f t="shared" si="118"/>
        <v>0</v>
      </c>
      <c r="O165" s="179">
        <f t="shared" si="125"/>
        <v>0</v>
      </c>
      <c r="P165" s="182">
        <f>Pasākumu_līmenis!N114</f>
        <v>1</v>
      </c>
      <c r="Q165" s="182">
        <v>3707048.5</v>
      </c>
      <c r="R165" s="179">
        <v>0.97690031240900144</v>
      </c>
      <c r="S165" s="182">
        <f>Pasākumu_līmenis!Q114</f>
        <v>3707048.5</v>
      </c>
      <c r="T165" s="172">
        <f t="shared" si="119"/>
        <v>0.97690031240900144</v>
      </c>
      <c r="U165" s="172">
        <f t="shared" si="120"/>
        <v>0</v>
      </c>
      <c r="V165" s="172">
        <f t="shared" si="126"/>
        <v>0</v>
      </c>
      <c r="W165" s="182">
        <f>Pasākumu_līmenis!U114</f>
        <v>1</v>
      </c>
      <c r="X165" s="182">
        <v>3707048.5</v>
      </c>
      <c r="Y165" s="172">
        <v>0.97690031240900144</v>
      </c>
      <c r="Z165" s="171">
        <f>Pasākumu_līmenis!X114</f>
        <v>3707048.5</v>
      </c>
      <c r="AA165" s="172">
        <f t="shared" si="121"/>
        <v>0.97690031240900144</v>
      </c>
      <c r="AB165" s="172">
        <f t="shared" si="122"/>
        <v>0</v>
      </c>
      <c r="AC165" s="172">
        <f t="shared" si="115"/>
        <v>0</v>
      </c>
      <c r="AD165" s="182">
        <f>Pasākumu_līmenis!AB114</f>
        <v>1</v>
      </c>
      <c r="AE165" s="171">
        <v>3707048.5</v>
      </c>
      <c r="AF165" s="172">
        <v>0.97690031240900144</v>
      </c>
      <c r="AG165" s="171">
        <f>Pasākumu_līmenis!AE114</f>
        <v>3707048.5</v>
      </c>
      <c r="AH165" s="172">
        <f t="shared" si="123"/>
        <v>0.97690031240900144</v>
      </c>
      <c r="AI165" s="172">
        <f t="shared" si="124"/>
        <v>0</v>
      </c>
      <c r="AJ165" s="172">
        <f t="shared" si="116"/>
        <v>0</v>
      </c>
      <c r="AK165" s="171">
        <v>3707048.5</v>
      </c>
      <c r="AL165" s="172">
        <v>0.97690031240900144</v>
      </c>
    </row>
    <row r="166" spans="1:38" ht="39.75" customHeight="1" x14ac:dyDescent="0.3">
      <c r="A166" s="251" t="s">
        <v>119</v>
      </c>
      <c r="B166" s="252" t="str">
        <f>VLOOKUP(A166,saīsinājumi_LV_ENG!A:G,5,FALSE)</f>
        <v>Mūžizglītības attīstīšana dažādām vecuma grupām</v>
      </c>
      <c r="C166" s="217" t="s">
        <v>120</v>
      </c>
      <c r="D166" s="217"/>
      <c r="E166" s="219"/>
      <c r="F166" s="219"/>
      <c r="G166" s="277"/>
      <c r="H166" s="238">
        <f>H167</f>
        <v>37406057</v>
      </c>
      <c r="I166" s="238">
        <f>I167</f>
        <v>0</v>
      </c>
      <c r="J166" s="238">
        <f>J167</f>
        <v>37406057</v>
      </c>
      <c r="K166" s="238">
        <f>K167</f>
        <v>1428978.6074669501</v>
      </c>
      <c r="L166" s="238">
        <f>L167</f>
        <v>36926055.189999998</v>
      </c>
      <c r="M166" s="239">
        <f t="shared" si="117"/>
        <v>0.98716780520331238</v>
      </c>
      <c r="N166" s="239">
        <f t="shared" si="118"/>
        <v>0</v>
      </c>
      <c r="O166" s="239">
        <f t="shared" si="125"/>
        <v>0</v>
      </c>
      <c r="P166" s="238">
        <f>P167</f>
        <v>1</v>
      </c>
      <c r="Q166" s="238">
        <v>36926055.189999998</v>
      </c>
      <c r="R166" s="239">
        <v>0.98716780520331238</v>
      </c>
      <c r="S166" s="238">
        <f>S167</f>
        <v>36926055.189999998</v>
      </c>
      <c r="T166" s="221">
        <f t="shared" si="119"/>
        <v>0.98716780520331238</v>
      </c>
      <c r="U166" s="221">
        <f t="shared" si="120"/>
        <v>0</v>
      </c>
      <c r="V166" s="221">
        <f t="shared" si="126"/>
        <v>0</v>
      </c>
      <c r="W166" s="238">
        <f>W167</f>
        <v>1</v>
      </c>
      <c r="X166" s="238">
        <v>36926055.189999998</v>
      </c>
      <c r="Y166" s="221">
        <v>0.98716780520331238</v>
      </c>
      <c r="Z166" s="220">
        <f>Z167</f>
        <v>36926055.189999998</v>
      </c>
      <c r="AA166" s="221">
        <f t="shared" si="121"/>
        <v>0.98716780520331238</v>
      </c>
      <c r="AB166" s="221">
        <f t="shared" si="122"/>
        <v>0</v>
      </c>
      <c r="AC166" s="221">
        <f t="shared" si="115"/>
        <v>0</v>
      </c>
      <c r="AD166" s="238">
        <f>AD167</f>
        <v>1</v>
      </c>
      <c r="AE166" s="220">
        <v>36926055.189999998</v>
      </c>
      <c r="AF166" s="221">
        <v>0.98716780520331238</v>
      </c>
      <c r="AG166" s="220">
        <f>AG167</f>
        <v>36926055.189999998</v>
      </c>
      <c r="AH166" s="221">
        <f t="shared" si="123"/>
        <v>0.98716780520331238</v>
      </c>
      <c r="AI166" s="221">
        <f t="shared" si="124"/>
        <v>0</v>
      </c>
      <c r="AJ166" s="221">
        <f t="shared" si="116"/>
        <v>0</v>
      </c>
      <c r="AK166" s="220">
        <v>36926055.189999998</v>
      </c>
      <c r="AL166" s="221">
        <v>0.98716780520331238</v>
      </c>
    </row>
    <row r="167" spans="1:38" ht="21" customHeight="1" x14ac:dyDescent="0.3">
      <c r="A167" s="257" t="s">
        <v>450</v>
      </c>
      <c r="B167" s="256" t="str">
        <f>VLOOKUP(A167,saīsinājumi_LV_ENG!A:G,5,FALSE)</f>
        <v xml:space="preserve">Mūžizglītība </v>
      </c>
      <c r="C167" s="12" t="s">
        <v>121</v>
      </c>
      <c r="D167" s="12"/>
      <c r="E167" s="40" t="s">
        <v>346</v>
      </c>
      <c r="F167" s="40" t="s">
        <v>348</v>
      </c>
      <c r="G167" s="279" t="str">
        <f>VLOOKUP(A167,'2. Intervences kategorijas - Pa'!B:D,2,FALSE)</f>
        <v>10 - Veikt investīcijas izglītībā, apmācībā un profesionālajā apmācībā prasmju ieguvei, kā arī mūžizglītībā</v>
      </c>
      <c r="H167" s="171">
        <f>Pasākumu_līmenis!F115</f>
        <v>37406057</v>
      </c>
      <c r="I167" s="171">
        <f>Pasākumu_līmenis!G115</f>
        <v>0</v>
      </c>
      <c r="J167" s="171">
        <f>Pasākumu_līmenis!H115</f>
        <v>37406057</v>
      </c>
      <c r="K167" s="171">
        <f>Pasākumu_līmenis!I115</f>
        <v>1428978.6074669501</v>
      </c>
      <c r="L167" s="171">
        <f>Pasākumu_līmenis!J115</f>
        <v>36926055.189999998</v>
      </c>
      <c r="M167" s="172">
        <f t="shared" si="117"/>
        <v>0.98716780520331238</v>
      </c>
      <c r="N167" s="172">
        <f t="shared" si="118"/>
        <v>0</v>
      </c>
      <c r="O167" s="172">
        <f t="shared" si="125"/>
        <v>0</v>
      </c>
      <c r="P167" s="171">
        <f>Pasākumu_līmenis!N115</f>
        <v>1</v>
      </c>
      <c r="Q167" s="171">
        <v>36926055.189999998</v>
      </c>
      <c r="R167" s="172">
        <v>0.98716780520331238</v>
      </c>
      <c r="S167" s="171">
        <f>Pasākumu_līmenis!Q115</f>
        <v>36926055.189999998</v>
      </c>
      <c r="T167" s="172">
        <f t="shared" si="119"/>
        <v>0.98716780520331238</v>
      </c>
      <c r="U167" s="172">
        <f t="shared" si="120"/>
        <v>0</v>
      </c>
      <c r="V167" s="172">
        <f t="shared" si="126"/>
        <v>0</v>
      </c>
      <c r="W167" s="171">
        <f>Pasākumu_līmenis!U115</f>
        <v>1</v>
      </c>
      <c r="X167" s="171">
        <v>36926055.189999998</v>
      </c>
      <c r="Y167" s="172">
        <v>0.98716780520331238</v>
      </c>
      <c r="Z167" s="171">
        <f>Pasākumu_līmenis!X115</f>
        <v>36926055.189999998</v>
      </c>
      <c r="AA167" s="172">
        <f t="shared" si="121"/>
        <v>0.98716780520331238</v>
      </c>
      <c r="AB167" s="172">
        <f t="shared" si="122"/>
        <v>0</v>
      </c>
      <c r="AC167" s="172">
        <f t="shared" si="115"/>
        <v>0</v>
      </c>
      <c r="AD167" s="171">
        <f>Pasākumu_līmenis!AB115</f>
        <v>1</v>
      </c>
      <c r="AE167" s="171">
        <v>36926055.189999998</v>
      </c>
      <c r="AF167" s="172">
        <v>0.98716780520331238</v>
      </c>
      <c r="AG167" s="171">
        <f>Pasākumu_līmenis!AE115</f>
        <v>36926055.189999998</v>
      </c>
      <c r="AH167" s="172">
        <f t="shared" si="123"/>
        <v>0.98716780520331238</v>
      </c>
      <c r="AI167" s="172">
        <f t="shared" si="124"/>
        <v>0</v>
      </c>
      <c r="AJ167" s="172">
        <f t="shared" si="116"/>
        <v>0</v>
      </c>
      <c r="AK167" s="171">
        <v>36926055.189999998</v>
      </c>
      <c r="AL167" s="172">
        <v>0.98716780520331238</v>
      </c>
    </row>
    <row r="168" spans="1:38" ht="39.75" customHeight="1" x14ac:dyDescent="0.3">
      <c r="A168" s="251" t="s">
        <v>122</v>
      </c>
      <c r="B168" s="264" t="str">
        <f>VLOOKUP(A168,saīsinājumi_LV_ENG!A:G,5,FALSE)</f>
        <v>Darba tirgus nozīmes palielināšana izglītībā</v>
      </c>
      <c r="C168" s="240" t="s">
        <v>123</v>
      </c>
      <c r="D168" s="217"/>
      <c r="E168" s="219"/>
      <c r="F168" s="219"/>
      <c r="G168" s="277"/>
      <c r="H168" s="220">
        <f>H169+H170+H171</f>
        <v>29845423</v>
      </c>
      <c r="I168" s="220">
        <f>I169+I170+I171</f>
        <v>0</v>
      </c>
      <c r="J168" s="220">
        <f>J169+J170+J171</f>
        <v>29845423</v>
      </c>
      <c r="K168" s="220">
        <f>K169+K170+K171</f>
        <v>343049.934610072</v>
      </c>
      <c r="L168" s="220">
        <f>L169+L170+L171</f>
        <v>29560138.41</v>
      </c>
      <c r="M168" s="221">
        <f t="shared" si="117"/>
        <v>0.99044126162996582</v>
      </c>
      <c r="N168" s="221">
        <f t="shared" si="118"/>
        <v>0</v>
      </c>
      <c r="O168" s="221">
        <f t="shared" si="125"/>
        <v>0</v>
      </c>
      <c r="P168" s="220">
        <f>P169+P170+P171</f>
        <v>3</v>
      </c>
      <c r="Q168" s="220">
        <v>29560138.41</v>
      </c>
      <c r="R168" s="221">
        <v>0.99044126162996582</v>
      </c>
      <c r="S168" s="220">
        <f>S169+S170+S171</f>
        <v>29560138.41</v>
      </c>
      <c r="T168" s="221">
        <f t="shared" si="119"/>
        <v>0.99044126162996582</v>
      </c>
      <c r="U168" s="221">
        <f t="shared" si="120"/>
        <v>0</v>
      </c>
      <c r="V168" s="221">
        <f t="shared" si="126"/>
        <v>0</v>
      </c>
      <c r="W168" s="220">
        <f>W169+W170+W171</f>
        <v>3</v>
      </c>
      <c r="X168" s="220">
        <v>29560138.41</v>
      </c>
      <c r="Y168" s="221">
        <v>0.99044126162996582</v>
      </c>
      <c r="Z168" s="220">
        <f>Z169+Z170+Z171</f>
        <v>29560138.41</v>
      </c>
      <c r="AA168" s="221">
        <f t="shared" si="121"/>
        <v>0.99044126162996582</v>
      </c>
      <c r="AB168" s="221">
        <f t="shared" si="122"/>
        <v>0</v>
      </c>
      <c r="AC168" s="221">
        <f t="shared" si="115"/>
        <v>0</v>
      </c>
      <c r="AD168" s="220">
        <f>AD169+AD170+AD171</f>
        <v>3</v>
      </c>
      <c r="AE168" s="220">
        <v>29560138.41</v>
      </c>
      <c r="AF168" s="221">
        <v>0.99044126162996582</v>
      </c>
      <c r="AG168" s="220">
        <f>AG169+AG170+AG171</f>
        <v>29560138.41</v>
      </c>
      <c r="AH168" s="221">
        <f t="shared" si="123"/>
        <v>0.99044126162996582</v>
      </c>
      <c r="AI168" s="221">
        <f t="shared" si="124"/>
        <v>0</v>
      </c>
      <c r="AJ168" s="221">
        <f t="shared" si="116"/>
        <v>0</v>
      </c>
      <c r="AK168" s="220">
        <v>29560138.41</v>
      </c>
      <c r="AL168" s="221">
        <v>0.99044126162996582</v>
      </c>
    </row>
    <row r="169" spans="1:38" ht="39.75" customHeight="1" x14ac:dyDescent="0.3">
      <c r="A169" s="257" t="s">
        <v>320</v>
      </c>
      <c r="B169" s="256" t="str">
        <f>VLOOKUP(A169,saīsinājumi_LV_ENG!A:G,5,FALSE)</f>
        <v>Darba vidē balstītās mācības un mācību prakses</v>
      </c>
      <c r="C169" s="12" t="s">
        <v>124</v>
      </c>
      <c r="D169" s="12"/>
      <c r="E169" s="40" t="str">
        <f>Pasākumu_līmenis!D116</f>
        <v>ESF</v>
      </c>
      <c r="F169" s="40" t="str">
        <f>Pasākumu_līmenis!E116</f>
        <v>IZM</v>
      </c>
      <c r="G169" s="279" t="str">
        <f>VLOOKUP(A169,'2. Intervences kategorijas - Pa'!B:D,2,FALSE)</f>
        <v>10 - Veikt investīcijas izglītībā, apmācībā un profesionālajā apmācībā prasmju ieguvei, kā arī mūžizglītībā</v>
      </c>
      <c r="H169" s="171">
        <f>Pasākumu_līmenis!F116</f>
        <v>13642147</v>
      </c>
      <c r="I169" s="171">
        <f>Pasākumu_līmenis!G116</f>
        <v>0</v>
      </c>
      <c r="J169" s="171">
        <f>Pasākumu_līmenis!H116</f>
        <v>13642147</v>
      </c>
      <c r="K169" s="171">
        <f>Pasākumu_līmenis!I116</f>
        <v>0</v>
      </c>
      <c r="L169" s="171">
        <f>Pasākumu_līmenis!J116</f>
        <v>13622344.84</v>
      </c>
      <c r="M169" s="172">
        <f t="shared" si="117"/>
        <v>0.99854845721864749</v>
      </c>
      <c r="N169" s="172">
        <f t="shared" si="118"/>
        <v>0</v>
      </c>
      <c r="O169" s="172">
        <f t="shared" si="125"/>
        <v>0</v>
      </c>
      <c r="P169" s="171">
        <f>Pasākumu_līmenis!N116</f>
        <v>1</v>
      </c>
      <c r="Q169" s="171">
        <v>13622344.84</v>
      </c>
      <c r="R169" s="172">
        <v>0.99854845721864749</v>
      </c>
      <c r="S169" s="171">
        <f>Pasākumu_līmenis!Q116</f>
        <v>13622344.84</v>
      </c>
      <c r="T169" s="172">
        <f t="shared" si="119"/>
        <v>0.99854845721864749</v>
      </c>
      <c r="U169" s="172">
        <f t="shared" si="120"/>
        <v>0</v>
      </c>
      <c r="V169" s="172">
        <f t="shared" si="126"/>
        <v>0</v>
      </c>
      <c r="W169" s="171">
        <f>Pasākumu_līmenis!U116</f>
        <v>1</v>
      </c>
      <c r="X169" s="171">
        <v>13622344.84</v>
      </c>
      <c r="Y169" s="172">
        <v>0.99854845721864749</v>
      </c>
      <c r="Z169" s="171">
        <f>Pasākumu_līmenis!X116</f>
        <v>13622344.84</v>
      </c>
      <c r="AA169" s="172">
        <f t="shared" si="121"/>
        <v>0.99854845721864749</v>
      </c>
      <c r="AB169" s="172">
        <f t="shared" si="122"/>
        <v>0</v>
      </c>
      <c r="AC169" s="172">
        <f t="shared" si="115"/>
        <v>0</v>
      </c>
      <c r="AD169" s="171">
        <f>Pasākumu_līmenis!AB116</f>
        <v>1</v>
      </c>
      <c r="AE169" s="171">
        <v>13622344.84</v>
      </c>
      <c r="AF169" s="172">
        <v>0.99854845721864749</v>
      </c>
      <c r="AG169" s="171">
        <f>Pasākumu_līmenis!AE116</f>
        <v>13622344.84</v>
      </c>
      <c r="AH169" s="172">
        <f t="shared" si="123"/>
        <v>0.99854845721864749</v>
      </c>
      <c r="AI169" s="172">
        <f t="shared" si="124"/>
        <v>0</v>
      </c>
      <c r="AJ169" s="172">
        <f t="shared" si="116"/>
        <v>0</v>
      </c>
      <c r="AK169" s="171">
        <v>13622344.84</v>
      </c>
      <c r="AL169" s="172">
        <v>0.99854845721864749</v>
      </c>
    </row>
    <row r="170" spans="1:38" ht="57" customHeight="1" x14ac:dyDescent="0.3">
      <c r="A170" s="257" t="s">
        <v>321</v>
      </c>
      <c r="B170" s="256" t="str">
        <f>VLOOKUP(A170,saīsinājumi_LV_ENG!A:G,5,FALSE)</f>
        <v>Profesionālās izglītības kvalifikācijas atbilstība Eiropas prasībām</v>
      </c>
      <c r="C170" s="12" t="s">
        <v>125</v>
      </c>
      <c r="D170" s="12"/>
      <c r="E170" s="40" t="str">
        <f>Pasākumu_līmenis!D117</f>
        <v>ESF</v>
      </c>
      <c r="F170" s="40" t="str">
        <f>Pasākumu_līmenis!E117</f>
        <v>IZM</v>
      </c>
      <c r="G170" s="279" t="str">
        <f>VLOOKUP(A170,'2. Intervences kategorijas - Pa'!B:D,2,FALSE)</f>
        <v>10 - Veikt investīcijas izglītībā, apmācībā un profesionālajā apmācībā prasmju ieguvei, kā arī mūžizglītībā</v>
      </c>
      <c r="H170" s="171">
        <f>Pasākumu_līmenis!F117</f>
        <v>10686696</v>
      </c>
      <c r="I170" s="171">
        <f>Pasākumu_līmenis!G117</f>
        <v>0</v>
      </c>
      <c r="J170" s="171">
        <f>Pasākumu_līmenis!H117</f>
        <v>10686696</v>
      </c>
      <c r="K170" s="171">
        <f>Pasākumu_līmenis!I117</f>
        <v>0</v>
      </c>
      <c r="L170" s="171">
        <f>Pasākumu_līmenis!J117</f>
        <v>10615913.76</v>
      </c>
      <c r="M170" s="172">
        <f t="shared" si="117"/>
        <v>0.9933766020854341</v>
      </c>
      <c r="N170" s="172">
        <f t="shared" si="118"/>
        <v>0</v>
      </c>
      <c r="O170" s="172">
        <f t="shared" si="125"/>
        <v>0</v>
      </c>
      <c r="P170" s="171">
        <f>Pasākumu_līmenis!N117</f>
        <v>1</v>
      </c>
      <c r="Q170" s="171">
        <v>10615913.76</v>
      </c>
      <c r="R170" s="172">
        <v>0.9933766020854341</v>
      </c>
      <c r="S170" s="171">
        <f>Pasākumu_līmenis!Q117</f>
        <v>10615913.76</v>
      </c>
      <c r="T170" s="172">
        <f t="shared" si="119"/>
        <v>0.9933766020854341</v>
      </c>
      <c r="U170" s="172">
        <f t="shared" si="120"/>
        <v>0</v>
      </c>
      <c r="V170" s="172">
        <f t="shared" si="126"/>
        <v>0</v>
      </c>
      <c r="W170" s="171">
        <f>Pasākumu_līmenis!U117</f>
        <v>1</v>
      </c>
      <c r="X170" s="171">
        <v>10615913.76</v>
      </c>
      <c r="Y170" s="172">
        <v>0.9933766020854341</v>
      </c>
      <c r="Z170" s="171">
        <f>Pasākumu_līmenis!X117</f>
        <v>10615913.76</v>
      </c>
      <c r="AA170" s="172">
        <f t="shared" si="121"/>
        <v>0.9933766020854341</v>
      </c>
      <c r="AB170" s="172">
        <f t="shared" si="122"/>
        <v>0</v>
      </c>
      <c r="AC170" s="172">
        <f t="shared" si="115"/>
        <v>0</v>
      </c>
      <c r="AD170" s="171">
        <f>Pasākumu_līmenis!AB117</f>
        <v>1</v>
      </c>
      <c r="AE170" s="171">
        <v>10615913.76</v>
      </c>
      <c r="AF170" s="172">
        <v>0.9933766020854341</v>
      </c>
      <c r="AG170" s="171">
        <f>Pasākumu_līmenis!AE117</f>
        <v>10615913.76</v>
      </c>
      <c r="AH170" s="172">
        <f t="shared" si="123"/>
        <v>0.9933766020854341</v>
      </c>
      <c r="AI170" s="172">
        <f t="shared" si="124"/>
        <v>0</v>
      </c>
      <c r="AJ170" s="172">
        <f t="shared" si="116"/>
        <v>0</v>
      </c>
      <c r="AK170" s="171">
        <v>10615913.76</v>
      </c>
      <c r="AL170" s="172">
        <v>0.9933766020854341</v>
      </c>
    </row>
    <row r="171" spans="1:38" ht="39.75" customHeight="1" x14ac:dyDescent="0.3">
      <c r="A171" s="257" t="s">
        <v>322</v>
      </c>
      <c r="B171" s="256" t="str">
        <f>VLOOKUP(A171,saīsinājumi_LV_ENG!A:G,5,FALSE)</f>
        <v xml:space="preserve">Profesionālās izglītības pārvaldība </v>
      </c>
      <c r="C171" s="12" t="s">
        <v>126</v>
      </c>
      <c r="D171" s="12"/>
      <c r="E171" s="40" t="str">
        <f>Pasākumu_līmenis!D118</f>
        <v>ESF</v>
      </c>
      <c r="F171" s="40" t="str">
        <f>Pasākumu_līmenis!E118</f>
        <v>IZM</v>
      </c>
      <c r="G171" s="279" t="str">
        <f>VLOOKUP(A171,'2. Intervences kategorijas - Pa'!B:D,2,FALSE)</f>
        <v>10 - Veikt investīcijas izglītībā, apmācībā un profesionālajā apmācībā prasmju ieguvei, kā arī mūžizglītībā</v>
      </c>
      <c r="H171" s="171">
        <f>Pasākumu_līmenis!F118</f>
        <v>5516580</v>
      </c>
      <c r="I171" s="171">
        <f>Pasākumu_līmenis!G118</f>
        <v>0</v>
      </c>
      <c r="J171" s="171">
        <f>Pasākumu_līmenis!H118</f>
        <v>5516580</v>
      </c>
      <c r="K171" s="171">
        <f>Pasākumu_līmenis!I118</f>
        <v>343049.934610072</v>
      </c>
      <c r="L171" s="171">
        <f>Pasākumu_līmenis!J118</f>
        <v>5321879.8099999996</v>
      </c>
      <c r="M171" s="172">
        <f t="shared" si="117"/>
        <v>0.9647063597373734</v>
      </c>
      <c r="N171" s="172">
        <f t="shared" si="118"/>
        <v>0</v>
      </c>
      <c r="O171" s="172">
        <f t="shared" si="125"/>
        <v>0</v>
      </c>
      <c r="P171" s="171">
        <f>Pasākumu_līmenis!N118</f>
        <v>1</v>
      </c>
      <c r="Q171" s="171">
        <v>5321879.8099999996</v>
      </c>
      <c r="R171" s="172">
        <v>0.9647063597373734</v>
      </c>
      <c r="S171" s="171">
        <f>Pasākumu_līmenis!Q118</f>
        <v>5321879.8099999996</v>
      </c>
      <c r="T171" s="172">
        <f t="shared" si="119"/>
        <v>0.9647063597373734</v>
      </c>
      <c r="U171" s="172">
        <f t="shared" si="120"/>
        <v>0</v>
      </c>
      <c r="V171" s="172">
        <f t="shared" si="126"/>
        <v>0</v>
      </c>
      <c r="W171" s="171">
        <f>Pasākumu_līmenis!U118</f>
        <v>1</v>
      </c>
      <c r="X171" s="171">
        <v>5321879.8099999996</v>
      </c>
      <c r="Y171" s="172">
        <v>0.9647063597373734</v>
      </c>
      <c r="Z171" s="171">
        <f>Pasākumu_līmenis!X118</f>
        <v>5321879.8099999996</v>
      </c>
      <c r="AA171" s="172">
        <f t="shared" si="121"/>
        <v>0.9647063597373734</v>
      </c>
      <c r="AB171" s="172">
        <f t="shared" si="122"/>
        <v>0</v>
      </c>
      <c r="AC171" s="172">
        <f t="shared" si="115"/>
        <v>0</v>
      </c>
      <c r="AD171" s="171">
        <f>Pasākumu_līmenis!AB118</f>
        <v>1</v>
      </c>
      <c r="AE171" s="171">
        <v>5321879.8099999996</v>
      </c>
      <c r="AF171" s="172">
        <v>0.9647063597373734</v>
      </c>
      <c r="AG171" s="171">
        <f>Pasākumu_līmenis!AE118</f>
        <v>5321879.8099999996</v>
      </c>
      <c r="AH171" s="172">
        <f t="shared" si="123"/>
        <v>0.9647063597373734</v>
      </c>
      <c r="AI171" s="172">
        <f t="shared" si="124"/>
        <v>0</v>
      </c>
      <c r="AJ171" s="172">
        <f t="shared" si="116"/>
        <v>0</v>
      </c>
      <c r="AK171" s="171">
        <v>5321879.8099999996</v>
      </c>
      <c r="AL171" s="172">
        <v>0.9647063597373734</v>
      </c>
    </row>
    <row r="172" spans="1:38" ht="21" customHeight="1" x14ac:dyDescent="0.3">
      <c r="A172" s="249" t="s">
        <v>127</v>
      </c>
      <c r="B172" s="250" t="str">
        <f>VLOOKUP(A172,saīsinājumi_LV_ENG!A:G,5,FALSE)</f>
        <v>Sociālā iekļaušana</v>
      </c>
      <c r="C172" s="10" t="s">
        <v>130</v>
      </c>
      <c r="D172" s="227"/>
      <c r="E172" s="68"/>
      <c r="F172" s="68"/>
      <c r="G172" s="281"/>
      <c r="H172" s="228">
        <f>H173+H185+H201</f>
        <v>516095086</v>
      </c>
      <c r="I172" s="228">
        <f>I173+I185+I201</f>
        <v>15313244</v>
      </c>
      <c r="J172" s="228">
        <f>J173+J185+J201</f>
        <v>531408330</v>
      </c>
      <c r="K172" s="228">
        <f>K173+K185+K201</f>
        <v>15459758</v>
      </c>
      <c r="L172" s="228">
        <f>L173+L185+L201</f>
        <v>489166989.72999996</v>
      </c>
      <c r="M172" s="229">
        <f t="shared" si="117"/>
        <v>0.94782338177503977</v>
      </c>
      <c r="N172" s="229">
        <f t="shared" si="118"/>
        <v>0</v>
      </c>
      <c r="O172" s="229">
        <f t="shared" si="125"/>
        <v>0</v>
      </c>
      <c r="P172" s="228">
        <f>P173+P185+P201</f>
        <v>610</v>
      </c>
      <c r="Q172" s="177">
        <v>489166989.72999996</v>
      </c>
      <c r="R172" s="178">
        <v>0.94782338177503977</v>
      </c>
      <c r="S172" s="228">
        <f>S173+S185+S201</f>
        <v>489166989.72999996</v>
      </c>
      <c r="T172" s="229">
        <f t="shared" si="119"/>
        <v>0.94782338177503977</v>
      </c>
      <c r="U172" s="229">
        <f t="shared" si="120"/>
        <v>0</v>
      </c>
      <c r="V172" s="229">
        <f t="shared" si="126"/>
        <v>0</v>
      </c>
      <c r="W172" s="228">
        <f>W173+W185+W201</f>
        <v>610</v>
      </c>
      <c r="X172" s="228">
        <v>489166989.72999996</v>
      </c>
      <c r="Y172" s="229">
        <v>0.94782338177503977</v>
      </c>
      <c r="Z172" s="228">
        <f>Z173+Z185+Z201</f>
        <v>489166989.72999996</v>
      </c>
      <c r="AA172" s="229">
        <f t="shared" si="121"/>
        <v>0.94782338177503977</v>
      </c>
      <c r="AB172" s="229">
        <f t="shared" si="122"/>
        <v>0</v>
      </c>
      <c r="AC172" s="229">
        <f t="shared" si="115"/>
        <v>0</v>
      </c>
      <c r="AD172" s="228">
        <f>AD173+AD185+AD201</f>
        <v>610</v>
      </c>
      <c r="AE172" s="177">
        <v>489166989.72999996</v>
      </c>
      <c r="AF172" s="178">
        <v>0.94782338177503977</v>
      </c>
      <c r="AG172" s="228">
        <f>AG173+AG185+AG201</f>
        <v>485781659.57999992</v>
      </c>
      <c r="AH172" s="229">
        <f t="shared" si="123"/>
        <v>0.9412638731847951</v>
      </c>
      <c r="AI172" s="229">
        <f t="shared" si="124"/>
        <v>0</v>
      </c>
      <c r="AJ172" s="229">
        <f t="shared" si="116"/>
        <v>0</v>
      </c>
      <c r="AK172" s="228">
        <v>485781659.57999992</v>
      </c>
      <c r="AL172" s="229">
        <v>0.9412638731847951</v>
      </c>
    </row>
    <row r="173" spans="1:38" ht="39.75" customHeight="1" x14ac:dyDescent="0.3">
      <c r="A173" s="251" t="s">
        <v>128</v>
      </c>
      <c r="B173" s="252" t="str">
        <f>VLOOKUP(A173,saīsinājumi_LV_ENG!A:G,5,FALSE)</f>
        <v>Sociālā iekļaušana nodarbinātības veicināšanai</v>
      </c>
      <c r="C173" s="217" t="s">
        <v>131</v>
      </c>
      <c r="D173" s="217"/>
      <c r="E173" s="219"/>
      <c r="F173" s="219"/>
      <c r="G173" s="277"/>
      <c r="H173" s="220">
        <f>H174+H178+H179+H180</f>
        <v>113318823</v>
      </c>
      <c r="I173" s="220">
        <f>I174+I178+I179+I180</f>
        <v>0</v>
      </c>
      <c r="J173" s="220">
        <f>J174+J178+J179+J180</f>
        <v>113318823</v>
      </c>
      <c r="K173" s="220">
        <f>K174+K178+K179+K180</f>
        <v>497266</v>
      </c>
      <c r="L173" s="220">
        <f>L174+L178+L179+L180</f>
        <v>111734903.25999999</v>
      </c>
      <c r="M173" s="221">
        <f t="shared" si="117"/>
        <v>0.98602244800936545</v>
      </c>
      <c r="N173" s="221">
        <f t="shared" si="118"/>
        <v>0</v>
      </c>
      <c r="O173" s="221">
        <f t="shared" si="125"/>
        <v>0</v>
      </c>
      <c r="P173" s="220">
        <f>P174+P178+P179+P180</f>
        <v>9</v>
      </c>
      <c r="Q173" s="220">
        <v>111734903.25999999</v>
      </c>
      <c r="R173" s="221">
        <v>0.98602244800936545</v>
      </c>
      <c r="S173" s="220">
        <f>S174+S178+S179+S180</f>
        <v>111734903.25999999</v>
      </c>
      <c r="T173" s="221">
        <f t="shared" si="119"/>
        <v>0.98602244800936545</v>
      </c>
      <c r="U173" s="221">
        <f t="shared" si="120"/>
        <v>0</v>
      </c>
      <c r="V173" s="221">
        <f t="shared" si="126"/>
        <v>0</v>
      </c>
      <c r="W173" s="220">
        <f>W174+W178+W179+W180</f>
        <v>9</v>
      </c>
      <c r="X173" s="220">
        <v>111734903.25999999</v>
      </c>
      <c r="Y173" s="221">
        <v>0.98602244800936545</v>
      </c>
      <c r="Z173" s="220">
        <f>Z174+Z178+Z179+Z180</f>
        <v>111734903.25999999</v>
      </c>
      <c r="AA173" s="221">
        <f t="shared" si="121"/>
        <v>0.98602244800936545</v>
      </c>
      <c r="AB173" s="221">
        <f t="shared" si="122"/>
        <v>0</v>
      </c>
      <c r="AC173" s="221">
        <f t="shared" si="115"/>
        <v>0</v>
      </c>
      <c r="AD173" s="220">
        <f>AD174+AD178+AD179+AD180</f>
        <v>9</v>
      </c>
      <c r="AE173" s="220">
        <v>111734903.25999999</v>
      </c>
      <c r="AF173" s="221">
        <v>0.98602244800936545</v>
      </c>
      <c r="AG173" s="220">
        <f>AG174+AG178+AG179+AG180</f>
        <v>111144754.66</v>
      </c>
      <c r="AH173" s="221">
        <f t="shared" si="123"/>
        <v>0.98081458770534524</v>
      </c>
      <c r="AI173" s="221">
        <f t="shared" si="124"/>
        <v>0</v>
      </c>
      <c r="AJ173" s="221">
        <f t="shared" si="116"/>
        <v>0</v>
      </c>
      <c r="AK173" s="220">
        <v>111144754.66</v>
      </c>
      <c r="AL173" s="221">
        <v>0.98081458770534524</v>
      </c>
    </row>
    <row r="174" spans="1:38" ht="39.75" customHeight="1" x14ac:dyDescent="0.3">
      <c r="A174" s="253" t="s">
        <v>451</v>
      </c>
      <c r="B174" s="254" t="str">
        <f>VLOOKUP(A174,saīsinājumi_LV_ENG!A:G,5,FALSE)</f>
        <v>Nelabvēlīgākā situācijā esošo bezdarbnieku iekļaušana</v>
      </c>
      <c r="C174" s="222" t="s">
        <v>132</v>
      </c>
      <c r="D174" s="222"/>
      <c r="E174" s="224"/>
      <c r="F174" s="224"/>
      <c r="G174" s="278"/>
      <c r="H174" s="225">
        <f>SUM(H175:H177)</f>
        <v>95567990</v>
      </c>
      <c r="I174" s="225">
        <f>SUM(I175:I177)</f>
        <v>0</v>
      </c>
      <c r="J174" s="225">
        <f>SUM(J175:J177)</f>
        <v>95567990</v>
      </c>
      <c r="K174" s="225">
        <f>SUM(K175:K177)</f>
        <v>0</v>
      </c>
      <c r="L174" s="225">
        <f>SUM(L175:L177)</f>
        <v>94245200.739999995</v>
      </c>
      <c r="M174" s="226">
        <f t="shared" si="117"/>
        <v>0.98615865772629507</v>
      </c>
      <c r="N174" s="226">
        <f t="shared" si="118"/>
        <v>0</v>
      </c>
      <c r="O174" s="226">
        <f t="shared" si="125"/>
        <v>0</v>
      </c>
      <c r="P174" s="225">
        <f>SUM(P175:P177)</f>
        <v>3</v>
      </c>
      <c r="Q174" s="225">
        <v>94245200.739999995</v>
      </c>
      <c r="R174" s="226">
        <v>0.98615865772629507</v>
      </c>
      <c r="S174" s="225">
        <f>SUM(S175:S177)</f>
        <v>94245200.739999995</v>
      </c>
      <c r="T174" s="226">
        <f t="shared" si="119"/>
        <v>0.98615865772629507</v>
      </c>
      <c r="U174" s="226">
        <f t="shared" si="120"/>
        <v>0</v>
      </c>
      <c r="V174" s="226">
        <f t="shared" si="126"/>
        <v>0</v>
      </c>
      <c r="W174" s="225">
        <f>SUM(W175:W177)</f>
        <v>3</v>
      </c>
      <c r="X174" s="225">
        <v>94245200.739999995</v>
      </c>
      <c r="Y174" s="226">
        <v>0.98615865772629507</v>
      </c>
      <c r="Z174" s="225">
        <f>SUM(Z175:Z177)</f>
        <v>94245200.739999995</v>
      </c>
      <c r="AA174" s="226">
        <f t="shared" si="121"/>
        <v>0.98615865772629507</v>
      </c>
      <c r="AB174" s="226">
        <f t="shared" si="122"/>
        <v>0</v>
      </c>
      <c r="AC174" s="226">
        <f t="shared" si="115"/>
        <v>0</v>
      </c>
      <c r="AD174" s="225">
        <f>SUM(AD175:AD177)</f>
        <v>3</v>
      </c>
      <c r="AE174" s="225">
        <v>94245200.739999995</v>
      </c>
      <c r="AF174" s="226">
        <v>0.98615865772629507</v>
      </c>
      <c r="AG174" s="225">
        <f>SUM(AG175:AG177)</f>
        <v>93655052.140000001</v>
      </c>
      <c r="AH174" s="226">
        <f t="shared" si="123"/>
        <v>0.979983487567333</v>
      </c>
      <c r="AI174" s="226">
        <f t="shared" si="124"/>
        <v>0</v>
      </c>
      <c r="AJ174" s="226">
        <f t="shared" si="116"/>
        <v>0</v>
      </c>
      <c r="AK174" s="225">
        <v>93655052.140000001</v>
      </c>
      <c r="AL174" s="226">
        <v>0.979983487567333</v>
      </c>
    </row>
    <row r="175" spans="1:38" ht="39.75" customHeight="1" x14ac:dyDescent="0.3">
      <c r="A175" s="255" t="s">
        <v>324</v>
      </c>
      <c r="B175" s="256" t="str">
        <f>VLOOKUP(A175,saīsinājumi_LV_ENG!A:G,5,FALSE)</f>
        <v>Subsidētās darbavietas bezdarbniekiem</v>
      </c>
      <c r="C175" s="12" t="s">
        <v>132</v>
      </c>
      <c r="D175" s="12"/>
      <c r="E175" s="40" t="str">
        <f>Pasākumu_līmenis!D120</f>
        <v>ESF</v>
      </c>
      <c r="F175" s="40" t="str">
        <f>Pasākumu_līmenis!E120</f>
        <v>LM</v>
      </c>
      <c r="G175" s="279" t="str">
        <f>VLOOKUP(A175,'2. Intervences kategorijas - Pa'!B:D,2,FALSE)</f>
        <v>08 - Veicināt stabilas un kvalitatīvas darba vietas un atbalstīt darbaspēka mobilitāti</v>
      </c>
      <c r="H175" s="171">
        <f>Pasākumu_līmenis!F120</f>
        <v>65931882</v>
      </c>
      <c r="I175" s="171">
        <f>Pasākumu_līmenis!G120</f>
        <v>0</v>
      </c>
      <c r="J175" s="171">
        <f>Pasākumu_līmenis!H120</f>
        <v>65931882</v>
      </c>
      <c r="K175" s="171">
        <f>Pasākumu_līmenis!I120</f>
        <v>0</v>
      </c>
      <c r="L175" s="171">
        <f>Pasākumu_līmenis!J120</f>
        <v>65086757.420000002</v>
      </c>
      <c r="M175" s="172">
        <f t="shared" si="117"/>
        <v>0.98718185262783797</v>
      </c>
      <c r="N175" s="172">
        <f t="shared" si="118"/>
        <v>0</v>
      </c>
      <c r="O175" s="172">
        <f t="shared" si="125"/>
        <v>0</v>
      </c>
      <c r="P175" s="171">
        <f>Pasākumu_līmenis!N120</f>
        <v>1</v>
      </c>
      <c r="Q175" s="171">
        <v>65086757.420000002</v>
      </c>
      <c r="R175" s="172">
        <v>0.98718185262783797</v>
      </c>
      <c r="S175" s="171">
        <f>Pasākumu_līmenis!Q120</f>
        <v>65086757.420000002</v>
      </c>
      <c r="T175" s="172">
        <f t="shared" si="119"/>
        <v>0.98718185262783797</v>
      </c>
      <c r="U175" s="172">
        <f t="shared" si="120"/>
        <v>0</v>
      </c>
      <c r="V175" s="172">
        <f t="shared" si="126"/>
        <v>0</v>
      </c>
      <c r="W175" s="171">
        <f>Pasākumu_līmenis!U120</f>
        <v>1</v>
      </c>
      <c r="X175" s="171">
        <v>65086757.420000002</v>
      </c>
      <c r="Y175" s="172">
        <v>0.98718185262783797</v>
      </c>
      <c r="Z175" s="171">
        <f>Pasākumu_līmenis!X120</f>
        <v>65086757.420000002</v>
      </c>
      <c r="AA175" s="172">
        <f t="shared" si="121"/>
        <v>0.98718185262783797</v>
      </c>
      <c r="AB175" s="172">
        <f t="shared" si="122"/>
        <v>0</v>
      </c>
      <c r="AC175" s="172">
        <f t="shared" si="115"/>
        <v>0</v>
      </c>
      <c r="AD175" s="171">
        <f>Pasākumu_līmenis!AB120</f>
        <v>1</v>
      </c>
      <c r="AE175" s="171">
        <v>65086757.420000002</v>
      </c>
      <c r="AF175" s="172">
        <v>0.98718185262783797</v>
      </c>
      <c r="AG175" s="171">
        <f>Pasākumu_līmenis!AE120</f>
        <v>65060335.469999999</v>
      </c>
      <c r="AH175" s="172">
        <f t="shared" si="123"/>
        <v>0.98678110644558881</v>
      </c>
      <c r="AI175" s="172">
        <f t="shared" si="124"/>
        <v>0</v>
      </c>
      <c r="AJ175" s="172">
        <f t="shared" si="116"/>
        <v>0</v>
      </c>
      <c r="AK175" s="171">
        <v>65060335.469999999</v>
      </c>
      <c r="AL175" s="172">
        <v>0.98678110644558881</v>
      </c>
    </row>
    <row r="176" spans="1:38" ht="39.75" customHeight="1" x14ac:dyDescent="0.3">
      <c r="A176" s="255" t="s">
        <v>325</v>
      </c>
      <c r="B176" s="256" t="str">
        <f>VLOOKUP(A176,saīsinājumi_LV_ENG!A:G,5,FALSE)</f>
        <v>Atbalsts ilgstošajiem bezdarbniekiem</v>
      </c>
      <c r="C176" s="12" t="s">
        <v>365</v>
      </c>
      <c r="D176" s="44"/>
      <c r="E176" s="40" t="str">
        <f>Pasākumu_līmenis!D121</f>
        <v>ESF</v>
      </c>
      <c r="F176" s="40" t="str">
        <f>Pasākumu_līmenis!E121</f>
        <v>LM</v>
      </c>
      <c r="G176" s="279" t="str">
        <f>VLOOKUP(A176,'2. Intervences kategorijas - Pa'!B:D,2,FALSE)</f>
        <v>08 - Veicināt stabilas un kvalitatīvas darba vietas un atbalstīt darbaspēka mobilitāti</v>
      </c>
      <c r="H176" s="171">
        <f>Pasākumu_līmenis!F121</f>
        <v>15114906</v>
      </c>
      <c r="I176" s="171">
        <f>Pasākumu_līmenis!G121</f>
        <v>0</v>
      </c>
      <c r="J176" s="171">
        <f>Pasākumu_līmenis!H121</f>
        <v>15114906</v>
      </c>
      <c r="K176" s="171">
        <f>Pasākumu_līmenis!I121</f>
        <v>0</v>
      </c>
      <c r="L176" s="171">
        <f>Pasākumu_līmenis!J121</f>
        <v>15109732.189999999</v>
      </c>
      <c r="M176" s="172">
        <f t="shared" si="117"/>
        <v>0.99965770147693933</v>
      </c>
      <c r="N176" s="172">
        <f t="shared" si="118"/>
        <v>0</v>
      </c>
      <c r="O176" s="172">
        <f t="shared" si="125"/>
        <v>0</v>
      </c>
      <c r="P176" s="171">
        <f>Pasākumu_līmenis!N121</f>
        <v>1</v>
      </c>
      <c r="Q176" s="171">
        <v>15109732.189999999</v>
      </c>
      <c r="R176" s="172">
        <v>0.99965770147693933</v>
      </c>
      <c r="S176" s="171">
        <f>Pasākumu_līmenis!Q121</f>
        <v>15109732.189999999</v>
      </c>
      <c r="T176" s="172">
        <f t="shared" si="119"/>
        <v>0.99965770147693933</v>
      </c>
      <c r="U176" s="172">
        <f t="shared" si="120"/>
        <v>0</v>
      </c>
      <c r="V176" s="172">
        <f t="shared" si="126"/>
        <v>0</v>
      </c>
      <c r="W176" s="171">
        <f>Pasākumu_līmenis!U121</f>
        <v>1</v>
      </c>
      <c r="X176" s="171">
        <v>15109732.189999999</v>
      </c>
      <c r="Y176" s="172">
        <v>0.99965770147693933</v>
      </c>
      <c r="Z176" s="171">
        <f>Pasākumu_līmenis!X121</f>
        <v>15109732.189999999</v>
      </c>
      <c r="AA176" s="172">
        <f t="shared" si="121"/>
        <v>0.99965770147693933</v>
      </c>
      <c r="AB176" s="172">
        <f t="shared" si="122"/>
        <v>0</v>
      </c>
      <c r="AC176" s="172">
        <f t="shared" si="115"/>
        <v>0</v>
      </c>
      <c r="AD176" s="171">
        <f>Pasākumu_līmenis!AB121</f>
        <v>1</v>
      </c>
      <c r="AE176" s="171">
        <v>15109732.189999999</v>
      </c>
      <c r="AF176" s="172">
        <v>0.99965770147693933</v>
      </c>
      <c r="AG176" s="171">
        <f>Pasākumu_līmenis!AE121</f>
        <v>15065475.98</v>
      </c>
      <c r="AH176" s="172">
        <f t="shared" si="123"/>
        <v>0.99672971700915647</v>
      </c>
      <c r="AI176" s="172">
        <f t="shared" si="124"/>
        <v>0</v>
      </c>
      <c r="AJ176" s="172">
        <f t="shared" si="116"/>
        <v>0</v>
      </c>
      <c r="AK176" s="171">
        <v>15065475.98</v>
      </c>
      <c r="AL176" s="172">
        <v>0.99672971700915647</v>
      </c>
    </row>
    <row r="177" spans="1:38" ht="21" customHeight="1" x14ac:dyDescent="0.3">
      <c r="A177" s="255" t="s">
        <v>326</v>
      </c>
      <c r="B177" s="256" t="str">
        <f>VLOOKUP(A177,saīsinājumi_LV_ENG!A:G,5,FALSE)</f>
        <v xml:space="preserve">Sociālā uzņēmējdarbība </v>
      </c>
      <c r="C177" s="12" t="s">
        <v>366</v>
      </c>
      <c r="D177" s="12"/>
      <c r="E177" s="40" t="str">
        <f>Pasākumu_līmenis!D122</f>
        <v>ESF</v>
      </c>
      <c r="F177" s="40" t="str">
        <f>Pasākumu_līmenis!E122</f>
        <v>LM</v>
      </c>
      <c r="G177" s="279" t="str">
        <f>VLOOKUP(A177,'2. Intervences kategorijas - Pa'!B:D,2,FALSE)</f>
        <v>09 - Veicināt sociālo iekļautību, apkarot nabadzību un jebkādu diskrimināciju</v>
      </c>
      <c r="H177" s="171">
        <f>Pasākumu_līmenis!F122</f>
        <v>14521202</v>
      </c>
      <c r="I177" s="171">
        <f>Pasākumu_līmenis!G122</f>
        <v>0</v>
      </c>
      <c r="J177" s="171">
        <f>Pasākumu_līmenis!H122</f>
        <v>14521202</v>
      </c>
      <c r="K177" s="171">
        <f>Pasākumu_līmenis!I122</f>
        <v>0</v>
      </c>
      <c r="L177" s="171">
        <f>Pasākumu_līmenis!J122</f>
        <v>14048711.130000001</v>
      </c>
      <c r="M177" s="172">
        <f t="shared" si="117"/>
        <v>0.96746200004655269</v>
      </c>
      <c r="N177" s="172">
        <f t="shared" si="118"/>
        <v>0</v>
      </c>
      <c r="O177" s="172">
        <f t="shared" si="125"/>
        <v>0</v>
      </c>
      <c r="P177" s="171">
        <f>Pasākumu_līmenis!N122</f>
        <v>1</v>
      </c>
      <c r="Q177" s="171">
        <v>14048711.130000001</v>
      </c>
      <c r="R177" s="172">
        <v>0.96746200004655269</v>
      </c>
      <c r="S177" s="171">
        <f>Pasākumu_līmenis!Q122</f>
        <v>14048711.130000001</v>
      </c>
      <c r="T177" s="172">
        <f t="shared" si="119"/>
        <v>0.96746200004655269</v>
      </c>
      <c r="U177" s="172">
        <f t="shared" si="120"/>
        <v>0</v>
      </c>
      <c r="V177" s="172">
        <f t="shared" si="126"/>
        <v>0</v>
      </c>
      <c r="W177" s="171">
        <f>Pasākumu_līmenis!U122</f>
        <v>1</v>
      </c>
      <c r="X177" s="171">
        <v>14048711.130000001</v>
      </c>
      <c r="Y177" s="172">
        <v>0.96746200004655269</v>
      </c>
      <c r="Z177" s="171">
        <f>Pasākumu_līmenis!X122</f>
        <v>14048711.130000001</v>
      </c>
      <c r="AA177" s="172">
        <f t="shared" si="121"/>
        <v>0.96746200004655269</v>
      </c>
      <c r="AB177" s="172">
        <f t="shared" si="122"/>
        <v>0</v>
      </c>
      <c r="AC177" s="172">
        <f t="shared" si="115"/>
        <v>0</v>
      </c>
      <c r="AD177" s="171">
        <f>Pasākumu_līmenis!AB122</f>
        <v>1</v>
      </c>
      <c r="AE177" s="171">
        <v>14048711.130000001</v>
      </c>
      <c r="AF177" s="172">
        <v>0.96746200004655269</v>
      </c>
      <c r="AG177" s="171">
        <f>Pasākumu_līmenis!AE122</f>
        <v>13529240.689999999</v>
      </c>
      <c r="AH177" s="172">
        <f t="shared" si="123"/>
        <v>0.93168876033815928</v>
      </c>
      <c r="AI177" s="172">
        <f t="shared" si="124"/>
        <v>0</v>
      </c>
      <c r="AJ177" s="172">
        <f t="shared" si="116"/>
        <v>0</v>
      </c>
      <c r="AK177" s="171">
        <v>13529240.689999999</v>
      </c>
      <c r="AL177" s="172">
        <v>0.93168876033815928</v>
      </c>
    </row>
    <row r="178" spans="1:38" ht="39.75" customHeight="1" x14ac:dyDescent="0.3">
      <c r="A178" s="257" t="s">
        <v>327</v>
      </c>
      <c r="B178" s="256" t="str">
        <f>VLOOKUP(A178,saīsinājumi_LV_ENG!A:G,5,FALSE)</f>
        <v>Bijušo ieslodzīto integrācija sabiedrībā</v>
      </c>
      <c r="C178" s="12" t="s">
        <v>133</v>
      </c>
      <c r="D178" s="12"/>
      <c r="E178" s="40" t="str">
        <f>Pasākumu_līmenis!D123</f>
        <v>ESF</v>
      </c>
      <c r="F178" s="40" t="str">
        <f>Pasākumu_līmenis!E123</f>
        <v>TM</v>
      </c>
      <c r="G178" s="279" t="str">
        <f>VLOOKUP(A178,'2. Intervences kategorijas - Pa'!B:D,2,FALSE)</f>
        <v>09 - Veicināt sociālo iekļautību, apkarot nabadzību un jebkādu diskrimināciju</v>
      </c>
      <c r="H178" s="171">
        <f>Pasākumu_līmenis!F123</f>
        <v>3813642</v>
      </c>
      <c r="I178" s="171">
        <f>Pasākumu_līmenis!G123</f>
        <v>0</v>
      </c>
      <c r="J178" s="171">
        <f>Pasākumu_līmenis!H123</f>
        <v>3813642</v>
      </c>
      <c r="K178" s="171">
        <f>Pasākumu_līmenis!I123</f>
        <v>273537</v>
      </c>
      <c r="L178" s="171">
        <f>Pasākumu_līmenis!J123</f>
        <v>3813625.6</v>
      </c>
      <c r="M178" s="172">
        <f t="shared" si="117"/>
        <v>0.99999569964878721</v>
      </c>
      <c r="N178" s="172">
        <f t="shared" si="118"/>
        <v>0</v>
      </c>
      <c r="O178" s="172">
        <f t="shared" si="125"/>
        <v>0</v>
      </c>
      <c r="P178" s="171">
        <f>Pasākumu_līmenis!N123</f>
        <v>1</v>
      </c>
      <c r="Q178" s="171">
        <v>3813625.6</v>
      </c>
      <c r="R178" s="172">
        <v>0.99999569964878721</v>
      </c>
      <c r="S178" s="171">
        <f>Pasākumu_līmenis!Q123</f>
        <v>3813625.6</v>
      </c>
      <c r="T178" s="172">
        <f t="shared" si="119"/>
        <v>0.99999569964878721</v>
      </c>
      <c r="U178" s="172">
        <f t="shared" si="120"/>
        <v>0</v>
      </c>
      <c r="V178" s="172">
        <f t="shared" si="126"/>
        <v>0</v>
      </c>
      <c r="W178" s="171">
        <f>Pasākumu_līmenis!U123</f>
        <v>1</v>
      </c>
      <c r="X178" s="171">
        <v>3813625.6</v>
      </c>
      <c r="Y178" s="172">
        <v>0.99999569964878721</v>
      </c>
      <c r="Z178" s="171">
        <f>Pasākumu_līmenis!X123</f>
        <v>3813625.6</v>
      </c>
      <c r="AA178" s="172">
        <f t="shared" si="121"/>
        <v>0.99999569964878721</v>
      </c>
      <c r="AB178" s="172">
        <f t="shared" si="122"/>
        <v>0</v>
      </c>
      <c r="AC178" s="172">
        <f t="shared" si="115"/>
        <v>0</v>
      </c>
      <c r="AD178" s="171">
        <f>Pasākumu_līmenis!AB123</f>
        <v>1</v>
      </c>
      <c r="AE178" s="171">
        <v>3813625.6</v>
      </c>
      <c r="AF178" s="172">
        <v>0.99999569964878721</v>
      </c>
      <c r="AG178" s="171">
        <f>Pasākumu_līmenis!AE123</f>
        <v>3813625.6</v>
      </c>
      <c r="AH178" s="172">
        <f t="shared" si="123"/>
        <v>0.99999569964878721</v>
      </c>
      <c r="AI178" s="172">
        <f t="shared" si="124"/>
        <v>0</v>
      </c>
      <c r="AJ178" s="172">
        <f t="shared" si="116"/>
        <v>0</v>
      </c>
      <c r="AK178" s="171">
        <v>3813625.6</v>
      </c>
      <c r="AL178" s="172">
        <v>0.99999569964878721</v>
      </c>
    </row>
    <row r="179" spans="1:38" ht="39.75" customHeight="1" x14ac:dyDescent="0.3">
      <c r="A179" s="257" t="s">
        <v>328</v>
      </c>
      <c r="B179" s="256" t="str">
        <f>VLOOKUP(A179,saīsinājumi_LV_ENG!A:G,5,FALSE)</f>
        <v>Resocializācijas sistēmas efektivitātes paaugstināšana</v>
      </c>
      <c r="C179" s="12" t="s">
        <v>134</v>
      </c>
      <c r="D179" s="12"/>
      <c r="E179" s="40" t="str">
        <f>Pasākumu_līmenis!D124</f>
        <v>ESF</v>
      </c>
      <c r="F179" s="40" t="str">
        <f>Pasākumu_līmenis!E124</f>
        <v>TM</v>
      </c>
      <c r="G179" s="279" t="str">
        <f>VLOOKUP(A179,'2. Intervences kategorijas - Pa'!B:D,2,FALSE)</f>
        <v>09 - Veicināt sociālo iekļautību, apkarot nabadzību un jebkādu diskrimināciju</v>
      </c>
      <c r="H179" s="171">
        <f>Pasākumu_līmenis!F124</f>
        <v>4446397</v>
      </c>
      <c r="I179" s="171">
        <f>Pasākumu_līmenis!G124</f>
        <v>0</v>
      </c>
      <c r="J179" s="171">
        <f>Pasākumu_līmenis!H124</f>
        <v>4446397</v>
      </c>
      <c r="K179" s="171">
        <f>Pasākumu_līmenis!I124</f>
        <v>223729</v>
      </c>
      <c r="L179" s="171">
        <f>Pasākumu_līmenis!J124</f>
        <v>4446397</v>
      </c>
      <c r="M179" s="172">
        <f t="shared" si="117"/>
        <v>1</v>
      </c>
      <c r="N179" s="172">
        <f t="shared" si="118"/>
        <v>0</v>
      </c>
      <c r="O179" s="172">
        <f t="shared" si="125"/>
        <v>0</v>
      </c>
      <c r="P179" s="171">
        <f>Pasākumu_līmenis!N124</f>
        <v>1</v>
      </c>
      <c r="Q179" s="171">
        <v>4446397</v>
      </c>
      <c r="R179" s="172">
        <v>1</v>
      </c>
      <c r="S179" s="171">
        <f>Pasākumu_līmenis!Q124</f>
        <v>4446397</v>
      </c>
      <c r="T179" s="172">
        <f t="shared" si="119"/>
        <v>1</v>
      </c>
      <c r="U179" s="172">
        <f t="shared" si="120"/>
        <v>0</v>
      </c>
      <c r="V179" s="172">
        <f t="shared" si="126"/>
        <v>0</v>
      </c>
      <c r="W179" s="171">
        <f>Pasākumu_līmenis!U124</f>
        <v>1</v>
      </c>
      <c r="X179" s="171">
        <v>4446397</v>
      </c>
      <c r="Y179" s="172">
        <v>1</v>
      </c>
      <c r="Z179" s="171">
        <f>Pasākumu_līmenis!X124</f>
        <v>4446397</v>
      </c>
      <c r="AA179" s="172">
        <f t="shared" si="121"/>
        <v>1</v>
      </c>
      <c r="AB179" s="172">
        <f t="shared" si="122"/>
        <v>0</v>
      </c>
      <c r="AC179" s="172">
        <f t="shared" si="115"/>
        <v>0</v>
      </c>
      <c r="AD179" s="171">
        <f>Pasākumu_līmenis!AB124</f>
        <v>1</v>
      </c>
      <c r="AE179" s="171">
        <v>4446397</v>
      </c>
      <c r="AF179" s="172">
        <v>1</v>
      </c>
      <c r="AG179" s="171">
        <f>Pasākumu_līmenis!AE124</f>
        <v>4446397</v>
      </c>
      <c r="AH179" s="172">
        <f t="shared" si="123"/>
        <v>1</v>
      </c>
      <c r="AI179" s="172">
        <f t="shared" si="124"/>
        <v>0</v>
      </c>
      <c r="AJ179" s="172">
        <f t="shared" si="116"/>
        <v>0</v>
      </c>
      <c r="AK179" s="171">
        <v>4446397</v>
      </c>
      <c r="AL179" s="172">
        <v>1</v>
      </c>
    </row>
    <row r="180" spans="1:38" ht="39.75" customHeight="1" x14ac:dyDescent="0.3">
      <c r="A180" s="253" t="s">
        <v>452</v>
      </c>
      <c r="B180" s="254" t="str">
        <f>VLOOKUP(A180,saīsinājumi_LV_ENG!A:G,5,FALSE)</f>
        <v>Diskriminācijas riskiem pakļauto iedzīvotāju integrācija</v>
      </c>
      <c r="C180" s="222" t="s">
        <v>135</v>
      </c>
      <c r="D180" s="222"/>
      <c r="E180" s="224"/>
      <c r="F180" s="224"/>
      <c r="G180" s="278"/>
      <c r="H180" s="225">
        <f>SUM(H181:H184)</f>
        <v>9490794</v>
      </c>
      <c r="I180" s="225">
        <f>SUM(I181:I184)</f>
        <v>0</v>
      </c>
      <c r="J180" s="225">
        <f>SUM(J181:J184)</f>
        <v>9490794</v>
      </c>
      <c r="K180" s="225">
        <f>SUM(K181:K184)</f>
        <v>0</v>
      </c>
      <c r="L180" s="225">
        <f>SUM(L181:L184)</f>
        <v>9229679.9199999999</v>
      </c>
      <c r="M180" s="226">
        <f t="shared" si="117"/>
        <v>0.97248764644981234</v>
      </c>
      <c r="N180" s="226">
        <f t="shared" si="118"/>
        <v>0</v>
      </c>
      <c r="O180" s="226">
        <f t="shared" si="125"/>
        <v>0</v>
      </c>
      <c r="P180" s="225">
        <f>SUM(P181:P184)</f>
        <v>4</v>
      </c>
      <c r="Q180" s="225">
        <v>9229679.9199999999</v>
      </c>
      <c r="R180" s="226">
        <v>0.97248764644981234</v>
      </c>
      <c r="S180" s="225">
        <f>SUM(S181:S184)</f>
        <v>9229679.9199999999</v>
      </c>
      <c r="T180" s="226">
        <f t="shared" si="119"/>
        <v>0.97248764644981234</v>
      </c>
      <c r="U180" s="226">
        <f t="shared" si="120"/>
        <v>0</v>
      </c>
      <c r="V180" s="226">
        <f t="shared" si="126"/>
        <v>0</v>
      </c>
      <c r="W180" s="225">
        <f>SUM(W181:W184)</f>
        <v>4</v>
      </c>
      <c r="X180" s="225">
        <v>9229679.9199999999</v>
      </c>
      <c r="Y180" s="226">
        <v>0.97248764644981234</v>
      </c>
      <c r="Z180" s="225">
        <f>SUM(Z181:Z184)</f>
        <v>9229679.9199999999</v>
      </c>
      <c r="AA180" s="226">
        <f t="shared" si="121"/>
        <v>0.97248764644981234</v>
      </c>
      <c r="AB180" s="226">
        <f t="shared" si="122"/>
        <v>0</v>
      </c>
      <c r="AC180" s="226">
        <f t="shared" si="115"/>
        <v>0</v>
      </c>
      <c r="AD180" s="225">
        <f>SUM(AD181:AD184)</f>
        <v>4</v>
      </c>
      <c r="AE180" s="225">
        <v>9229679.9199999999</v>
      </c>
      <c r="AF180" s="226">
        <v>0.97248764644981234</v>
      </c>
      <c r="AG180" s="225">
        <f>SUM(AG181:AG184)</f>
        <v>9229679.9199999999</v>
      </c>
      <c r="AH180" s="226">
        <f t="shared" si="123"/>
        <v>0.97248764644981234</v>
      </c>
      <c r="AI180" s="226">
        <f t="shared" si="124"/>
        <v>0</v>
      </c>
      <c r="AJ180" s="226">
        <f t="shared" si="116"/>
        <v>0</v>
      </c>
      <c r="AK180" s="225">
        <v>9229679.9199999999</v>
      </c>
      <c r="AL180" s="226">
        <v>0.97248764644981234</v>
      </c>
    </row>
    <row r="181" spans="1:38" ht="21" customHeight="1" x14ac:dyDescent="0.3">
      <c r="A181" s="255" t="s">
        <v>329</v>
      </c>
      <c r="B181" s="256" t="str">
        <f>VLOOKUP(A181,saīsinājumi_LV_ENG!A:G,5,FALSE)</f>
        <v>Profesionālā rehabilitācija</v>
      </c>
      <c r="C181" s="12" t="s">
        <v>209</v>
      </c>
      <c r="D181" s="12"/>
      <c r="E181" s="40" t="str">
        <f>Pasākumu_līmenis!D125</f>
        <v>ESF</v>
      </c>
      <c r="F181" s="40" t="str">
        <f>Pasākumu_līmenis!E125</f>
        <v>LM</v>
      </c>
      <c r="G181" s="279" t="str">
        <f>VLOOKUP(A181,'2. Intervences kategorijas - Pa'!B:D,2,FALSE)</f>
        <v>09 - Veicināt sociālo iekļautību, apkarot nabadzību un jebkādu diskrimināciju</v>
      </c>
      <c r="H181" s="171">
        <f>Pasākumu_līmenis!F125</f>
        <v>1486320</v>
      </c>
      <c r="I181" s="171">
        <f>Pasākumu_līmenis!G125</f>
        <v>0</v>
      </c>
      <c r="J181" s="171">
        <f>Pasākumu_līmenis!H125</f>
        <v>1486320</v>
      </c>
      <c r="K181" s="171">
        <f>Pasākumu_līmenis!I125</f>
        <v>0</v>
      </c>
      <c r="L181" s="171">
        <f>Pasākumu_līmenis!J125</f>
        <v>1486319.49</v>
      </c>
      <c r="M181" s="172">
        <f t="shared" si="117"/>
        <v>0.99999965687066039</v>
      </c>
      <c r="N181" s="172">
        <f t="shared" si="118"/>
        <v>0</v>
      </c>
      <c r="O181" s="172">
        <f t="shared" si="125"/>
        <v>0</v>
      </c>
      <c r="P181" s="171">
        <f>Pasākumu_līmenis!N125</f>
        <v>1</v>
      </c>
      <c r="Q181" s="171">
        <v>1486319.49</v>
      </c>
      <c r="R181" s="172">
        <v>0.99999965687066039</v>
      </c>
      <c r="S181" s="171">
        <f>Pasākumu_līmenis!Q125</f>
        <v>1486319.49</v>
      </c>
      <c r="T181" s="172">
        <f t="shared" si="119"/>
        <v>0.99999965687066039</v>
      </c>
      <c r="U181" s="172">
        <f t="shared" si="120"/>
        <v>0</v>
      </c>
      <c r="V181" s="172">
        <f t="shared" si="126"/>
        <v>0</v>
      </c>
      <c r="W181" s="171">
        <f>Pasākumu_līmenis!U125</f>
        <v>1</v>
      </c>
      <c r="X181" s="171">
        <v>1486319.49</v>
      </c>
      <c r="Y181" s="172">
        <v>0.99999965687066039</v>
      </c>
      <c r="Z181" s="171">
        <f>Pasākumu_līmenis!X125</f>
        <v>1486319.49</v>
      </c>
      <c r="AA181" s="172">
        <f t="shared" si="121"/>
        <v>0.99999965687066039</v>
      </c>
      <c r="AB181" s="172">
        <f t="shared" si="122"/>
        <v>0</v>
      </c>
      <c r="AC181" s="172">
        <f t="shared" si="115"/>
        <v>0</v>
      </c>
      <c r="AD181" s="171">
        <f>Pasākumu_līmenis!AB125</f>
        <v>1</v>
      </c>
      <c r="AE181" s="171">
        <v>1486319.49</v>
      </c>
      <c r="AF181" s="172">
        <v>0.99999965687066039</v>
      </c>
      <c r="AG181" s="171">
        <f>Pasākumu_līmenis!AE125</f>
        <v>1486319.49</v>
      </c>
      <c r="AH181" s="172">
        <f t="shared" si="123"/>
        <v>0.99999965687066039</v>
      </c>
      <c r="AI181" s="172">
        <f t="shared" si="124"/>
        <v>0</v>
      </c>
      <c r="AJ181" s="172">
        <f t="shared" si="116"/>
        <v>0</v>
      </c>
      <c r="AK181" s="171">
        <v>1486319.49</v>
      </c>
      <c r="AL181" s="172">
        <v>0.99999965687066039</v>
      </c>
    </row>
    <row r="182" spans="1:38" ht="59.25" customHeight="1" x14ac:dyDescent="0.3">
      <c r="A182" s="255" t="s">
        <v>330</v>
      </c>
      <c r="B182" s="256" t="str">
        <f>VLOOKUP(A182,saīsinājumi_LV_ENG!A:G,5,FALSE)</f>
        <v>Funkcionēšanas novērtēšana un tehnisko palīglīdzekļu pieejamības izpēte</v>
      </c>
      <c r="C182" s="12" t="s">
        <v>210</v>
      </c>
      <c r="D182" s="12"/>
      <c r="E182" s="40" t="str">
        <f>Pasākumu_līmenis!D126</f>
        <v>ESF</v>
      </c>
      <c r="F182" s="40" t="str">
        <f>Pasākumu_līmenis!E126</f>
        <v>LM</v>
      </c>
      <c r="G182" s="279" t="str">
        <f>VLOOKUP(A182,'2. Intervences kategorijas - Pa'!B:D,2,FALSE)</f>
        <v>09 - Veicināt sociālo iekļautību, apkarot nabadzību un jebkādu diskrimināciju</v>
      </c>
      <c r="H182" s="171">
        <f>Pasākumu_līmenis!F126</f>
        <v>974708</v>
      </c>
      <c r="I182" s="171">
        <f>Pasākumu_līmenis!G126</f>
        <v>0</v>
      </c>
      <c r="J182" s="171">
        <f>Pasākumu_līmenis!H126</f>
        <v>974708</v>
      </c>
      <c r="K182" s="171">
        <f>Pasākumu_līmenis!I126</f>
        <v>0</v>
      </c>
      <c r="L182" s="171">
        <f>Pasākumu_līmenis!J126</f>
        <v>974635.41</v>
      </c>
      <c r="M182" s="172">
        <f t="shared" si="117"/>
        <v>0.99992552641406451</v>
      </c>
      <c r="N182" s="172">
        <f t="shared" si="118"/>
        <v>0</v>
      </c>
      <c r="O182" s="172">
        <f t="shared" si="125"/>
        <v>0</v>
      </c>
      <c r="P182" s="171">
        <f>Pasākumu_līmenis!N126</f>
        <v>1</v>
      </c>
      <c r="Q182" s="171">
        <v>974635.41</v>
      </c>
      <c r="R182" s="172">
        <v>0.99992552641406451</v>
      </c>
      <c r="S182" s="171">
        <f>Pasākumu_līmenis!Q126</f>
        <v>974635.41</v>
      </c>
      <c r="T182" s="172">
        <f t="shared" si="119"/>
        <v>0.99992552641406451</v>
      </c>
      <c r="U182" s="172">
        <f t="shared" si="120"/>
        <v>0</v>
      </c>
      <c r="V182" s="172">
        <f t="shared" si="126"/>
        <v>0</v>
      </c>
      <c r="W182" s="171">
        <f>Pasākumu_līmenis!U126</f>
        <v>1</v>
      </c>
      <c r="X182" s="171">
        <v>974635.41</v>
      </c>
      <c r="Y182" s="172">
        <v>0.99992552641406451</v>
      </c>
      <c r="Z182" s="171">
        <f>Pasākumu_līmenis!X126</f>
        <v>974635.41</v>
      </c>
      <c r="AA182" s="172">
        <f t="shared" si="121"/>
        <v>0.99992552641406451</v>
      </c>
      <c r="AB182" s="172">
        <f t="shared" si="122"/>
        <v>0</v>
      </c>
      <c r="AC182" s="172">
        <f t="shared" si="115"/>
        <v>0</v>
      </c>
      <c r="AD182" s="171">
        <f>Pasākumu_līmenis!AB126</f>
        <v>1</v>
      </c>
      <c r="AE182" s="171">
        <v>974635.41</v>
      </c>
      <c r="AF182" s="172">
        <v>0.99992552641406451</v>
      </c>
      <c r="AG182" s="171">
        <f>Pasākumu_līmenis!AE126</f>
        <v>974635.41</v>
      </c>
      <c r="AH182" s="172">
        <f t="shared" si="123"/>
        <v>0.99992552641406451</v>
      </c>
      <c r="AI182" s="172">
        <f t="shared" si="124"/>
        <v>0</v>
      </c>
      <c r="AJ182" s="172">
        <f t="shared" si="116"/>
        <v>0</v>
      </c>
      <c r="AK182" s="171">
        <v>974635.41</v>
      </c>
      <c r="AL182" s="172">
        <v>0.99992552641406451</v>
      </c>
    </row>
    <row r="183" spans="1:38" ht="39.75" customHeight="1" x14ac:dyDescent="0.3">
      <c r="A183" s="255" t="s">
        <v>331</v>
      </c>
      <c r="B183" s="256" t="str">
        <f>VLOOKUP(A183,saīsinājumi_LV_ENG!A:G,5,FALSE)</f>
        <v>Bērnu invaliditātes noteikšanas sistēmas pilnveide</v>
      </c>
      <c r="C183" s="12" t="s">
        <v>211</v>
      </c>
      <c r="D183" s="12"/>
      <c r="E183" s="40" t="str">
        <f>Pasākumu_līmenis!D127</f>
        <v>ESF</v>
      </c>
      <c r="F183" s="40" t="str">
        <f>Pasākumu_līmenis!E127</f>
        <v>LM</v>
      </c>
      <c r="G183" s="279" t="str">
        <f>VLOOKUP(A183,'2. Intervences kategorijas - Pa'!B:D,2,FALSE)</f>
        <v>09 - Veicināt sociālo iekļautību, apkarot nabadzību un jebkādu diskrimināciju</v>
      </c>
      <c r="H183" s="171">
        <f>Pasākumu_līmenis!F127</f>
        <v>259298</v>
      </c>
      <c r="I183" s="171">
        <f>Pasākumu_līmenis!G127</f>
        <v>0</v>
      </c>
      <c r="J183" s="171">
        <f>Pasākumu_līmenis!H127</f>
        <v>259298</v>
      </c>
      <c r="K183" s="171">
        <f>Pasākumu_līmenis!I127</f>
        <v>0</v>
      </c>
      <c r="L183" s="171">
        <f>Pasākumu_līmenis!J127</f>
        <v>259297.52</v>
      </c>
      <c r="M183" s="172">
        <f t="shared" si="117"/>
        <v>0.9999981488480435</v>
      </c>
      <c r="N183" s="172">
        <f t="shared" si="118"/>
        <v>0</v>
      </c>
      <c r="O183" s="172">
        <f t="shared" si="125"/>
        <v>0</v>
      </c>
      <c r="P183" s="171">
        <f>Pasākumu_līmenis!N127</f>
        <v>1</v>
      </c>
      <c r="Q183" s="171">
        <v>259297.52</v>
      </c>
      <c r="R183" s="172">
        <v>0.9999981488480435</v>
      </c>
      <c r="S183" s="171">
        <f>Pasākumu_līmenis!Q127</f>
        <v>259297.52</v>
      </c>
      <c r="T183" s="172">
        <f t="shared" si="119"/>
        <v>0.9999981488480435</v>
      </c>
      <c r="U183" s="172">
        <f t="shared" si="120"/>
        <v>0</v>
      </c>
      <c r="V183" s="172">
        <f t="shared" si="126"/>
        <v>0</v>
      </c>
      <c r="W183" s="171">
        <f>Pasākumu_līmenis!U127</f>
        <v>1</v>
      </c>
      <c r="X183" s="171">
        <v>259297.52</v>
      </c>
      <c r="Y183" s="172">
        <v>0.9999981488480435</v>
      </c>
      <c r="Z183" s="171">
        <f>Pasākumu_līmenis!X127</f>
        <v>259297.52</v>
      </c>
      <c r="AA183" s="172">
        <f t="shared" si="121"/>
        <v>0.9999981488480435</v>
      </c>
      <c r="AB183" s="172">
        <f t="shared" si="122"/>
        <v>0</v>
      </c>
      <c r="AC183" s="172">
        <f t="shared" si="115"/>
        <v>0</v>
      </c>
      <c r="AD183" s="171">
        <f>Pasākumu_līmenis!AB127</f>
        <v>1</v>
      </c>
      <c r="AE183" s="171">
        <v>259297.52</v>
      </c>
      <c r="AF183" s="172">
        <v>0.9999981488480435</v>
      </c>
      <c r="AG183" s="171">
        <f>Pasākumu_līmenis!AE127</f>
        <v>259297.52</v>
      </c>
      <c r="AH183" s="172">
        <f t="shared" si="123"/>
        <v>0.9999981488480435</v>
      </c>
      <c r="AI183" s="172">
        <f t="shared" si="124"/>
        <v>0</v>
      </c>
      <c r="AJ183" s="172">
        <f t="shared" si="116"/>
        <v>0</v>
      </c>
      <c r="AK183" s="171">
        <v>259297.52</v>
      </c>
      <c r="AL183" s="172">
        <v>0.9999981488480435</v>
      </c>
    </row>
    <row r="184" spans="1:38" ht="21" customHeight="1" x14ac:dyDescent="0.3">
      <c r="A184" s="255" t="s">
        <v>332</v>
      </c>
      <c r="B184" s="256" t="str">
        <f>VLOOKUP(A184,saīsinājumi_LV_ENG!A:G,5,FALSE)</f>
        <v>Diskriminācijas novēršana</v>
      </c>
      <c r="C184" s="12" t="s">
        <v>212</v>
      </c>
      <c r="D184" s="12"/>
      <c r="E184" s="40" t="str">
        <f>Pasākumu_līmenis!D128</f>
        <v>ESF</v>
      </c>
      <c r="F184" s="40" t="str">
        <f>Pasākumu_līmenis!E128</f>
        <v>LM</v>
      </c>
      <c r="G184" s="279" t="str">
        <f>VLOOKUP(A184,'2. Intervences kategorijas - Pa'!B:D,2,FALSE)</f>
        <v>09 - Veicināt sociālo iekļautību, apkarot nabadzību un jebkādu diskrimināciju</v>
      </c>
      <c r="H184" s="171">
        <f>Pasākumu_līmenis!F128</f>
        <v>6770468</v>
      </c>
      <c r="I184" s="171">
        <f>Pasākumu_līmenis!G128</f>
        <v>0</v>
      </c>
      <c r="J184" s="171">
        <f>Pasākumu_līmenis!H128</f>
        <v>6770468</v>
      </c>
      <c r="K184" s="171">
        <f>Pasākumu_līmenis!I128</f>
        <v>0</v>
      </c>
      <c r="L184" s="171">
        <f>Pasākumu_līmenis!J128</f>
        <v>6509427.5</v>
      </c>
      <c r="M184" s="172">
        <f t="shared" si="117"/>
        <v>0.9614442458039828</v>
      </c>
      <c r="N184" s="172">
        <f t="shared" si="118"/>
        <v>0</v>
      </c>
      <c r="O184" s="172">
        <f t="shared" si="125"/>
        <v>0</v>
      </c>
      <c r="P184" s="171">
        <f>Pasākumu_līmenis!N128</f>
        <v>1</v>
      </c>
      <c r="Q184" s="171">
        <v>6509427.5</v>
      </c>
      <c r="R184" s="172">
        <v>0.9614442458039828</v>
      </c>
      <c r="S184" s="171">
        <f>Pasākumu_līmenis!Q128</f>
        <v>6509427.5</v>
      </c>
      <c r="T184" s="172">
        <f t="shared" si="119"/>
        <v>0.9614442458039828</v>
      </c>
      <c r="U184" s="172">
        <f t="shared" si="120"/>
        <v>0</v>
      </c>
      <c r="V184" s="172">
        <f t="shared" si="126"/>
        <v>0</v>
      </c>
      <c r="W184" s="171">
        <f>Pasākumu_līmenis!U128</f>
        <v>1</v>
      </c>
      <c r="X184" s="171">
        <v>6509427.5</v>
      </c>
      <c r="Y184" s="172">
        <v>0.9614442458039828</v>
      </c>
      <c r="Z184" s="171">
        <f>Pasākumu_līmenis!X128</f>
        <v>6509427.5</v>
      </c>
      <c r="AA184" s="172">
        <f t="shared" si="121"/>
        <v>0.9614442458039828</v>
      </c>
      <c r="AB184" s="172">
        <f t="shared" si="122"/>
        <v>0</v>
      </c>
      <c r="AC184" s="172">
        <f t="shared" si="115"/>
        <v>0</v>
      </c>
      <c r="AD184" s="171">
        <f>Pasākumu_līmenis!AB128</f>
        <v>1</v>
      </c>
      <c r="AE184" s="171">
        <v>6509427.5</v>
      </c>
      <c r="AF184" s="172">
        <v>0.9614442458039828</v>
      </c>
      <c r="AG184" s="171">
        <f>Pasākumu_līmenis!AE128</f>
        <v>6509427.5</v>
      </c>
      <c r="AH184" s="172">
        <f t="shared" si="123"/>
        <v>0.9614442458039828</v>
      </c>
      <c r="AI184" s="172">
        <f t="shared" si="124"/>
        <v>0</v>
      </c>
      <c r="AJ184" s="172">
        <f t="shared" si="116"/>
        <v>0</v>
      </c>
      <c r="AK184" s="171">
        <v>6509427.5</v>
      </c>
      <c r="AL184" s="172">
        <v>0.9614442458039828</v>
      </c>
    </row>
    <row r="185" spans="1:38" ht="59.25" customHeight="1" x14ac:dyDescent="0.3">
      <c r="A185" s="251" t="s">
        <v>129</v>
      </c>
      <c r="B185" s="252" t="str">
        <f>VLOOKUP(A185,saīsinājumi_LV_ENG!A:G,5,FALSE)</f>
        <v>Piekļuves uzlabošana kvalitatīviem veselības aprūpes un sociālajiem pakalpojumiem</v>
      </c>
      <c r="C185" s="217" t="s">
        <v>380</v>
      </c>
      <c r="D185" s="217"/>
      <c r="E185" s="219"/>
      <c r="F185" s="219"/>
      <c r="G185" s="277"/>
      <c r="H185" s="220">
        <f>H186+H190+H194+H195+H198+H199+H200</f>
        <v>137047624</v>
      </c>
      <c r="I185" s="220">
        <f>I186+I190+I194+I195+I198+I199+I200</f>
        <v>1589796</v>
      </c>
      <c r="J185" s="220">
        <f>J186+J190+J194+J195+J198+J199+J200</f>
        <v>138637420</v>
      </c>
      <c r="K185" s="220">
        <f>K186+K190+K194+K195+K198+K199</f>
        <v>3167387</v>
      </c>
      <c r="L185" s="220">
        <f>L186+L190+L194+L195+L198+L199+L200</f>
        <v>137395247.25999999</v>
      </c>
      <c r="M185" s="221">
        <f t="shared" si="117"/>
        <v>1.0025365143141773</v>
      </c>
      <c r="N185" s="221">
        <f t="shared" si="118"/>
        <v>0</v>
      </c>
      <c r="O185" s="221">
        <f t="shared" si="125"/>
        <v>0</v>
      </c>
      <c r="P185" s="220">
        <f>P186+P190+P194+P195+P198+P199+P200</f>
        <v>165</v>
      </c>
      <c r="Q185" s="220">
        <v>137395247.25999999</v>
      </c>
      <c r="R185" s="221">
        <v>1.0025365143141773</v>
      </c>
      <c r="S185" s="220">
        <f>S186+S190+S194+S195+S198+S199+S200</f>
        <v>137395247.25999999</v>
      </c>
      <c r="T185" s="221">
        <f t="shared" si="119"/>
        <v>1.0025365143141773</v>
      </c>
      <c r="U185" s="221">
        <f t="shared" si="120"/>
        <v>0</v>
      </c>
      <c r="V185" s="221">
        <f t="shared" si="126"/>
        <v>0</v>
      </c>
      <c r="W185" s="220">
        <f>W186+W190+W194+W195+W198+W199+W200</f>
        <v>165</v>
      </c>
      <c r="X185" s="220">
        <v>137395247.25999999</v>
      </c>
      <c r="Y185" s="221">
        <v>1.0025365143141773</v>
      </c>
      <c r="Z185" s="220">
        <f>Z186+Z190+Z194+Z195+Z198+Z199+Z200</f>
        <v>137395247.25999999</v>
      </c>
      <c r="AA185" s="221">
        <f t="shared" si="121"/>
        <v>1.0025365143141773</v>
      </c>
      <c r="AB185" s="221">
        <f t="shared" si="122"/>
        <v>0</v>
      </c>
      <c r="AC185" s="221">
        <f t="shared" si="115"/>
        <v>0</v>
      </c>
      <c r="AD185" s="220">
        <f>AD186+AD190+AD194+AD195+AD198+AD199+AD200</f>
        <v>165</v>
      </c>
      <c r="AE185" s="220">
        <v>137395247.25999999</v>
      </c>
      <c r="AF185" s="221">
        <v>1.0025365143141773</v>
      </c>
      <c r="AG185" s="220">
        <f>AG186+AG190+AG194+AG195+AG198+AG199+AG200</f>
        <v>137389678.51999998</v>
      </c>
      <c r="AH185" s="221">
        <f t="shared" si="123"/>
        <v>1.002495880702025</v>
      </c>
      <c r="AI185" s="221">
        <f t="shared" si="124"/>
        <v>0</v>
      </c>
      <c r="AJ185" s="221">
        <f t="shared" si="116"/>
        <v>0</v>
      </c>
      <c r="AK185" s="220">
        <v>137389678.51999998</v>
      </c>
      <c r="AL185" s="221">
        <v>1.002495880702025</v>
      </c>
    </row>
    <row r="186" spans="1:38" ht="39.75" customHeight="1" x14ac:dyDescent="0.3">
      <c r="A186" s="253" t="s">
        <v>453</v>
      </c>
      <c r="B186" s="254" t="str">
        <f>VLOOKUP(A186,saīsinājumi_LV_ENG!A:G,5,FALSE)</f>
        <v>Sociālo dienestu darba efektivitātes paaugstināšana</v>
      </c>
      <c r="C186" s="222" t="s">
        <v>618</v>
      </c>
      <c r="D186" s="222"/>
      <c r="E186" s="224"/>
      <c r="F186" s="224"/>
      <c r="G186" s="278"/>
      <c r="H186" s="225">
        <f>SUM(H187:H189)</f>
        <v>13209926</v>
      </c>
      <c r="I186" s="225">
        <f>SUM(I187:I189)</f>
        <v>0</v>
      </c>
      <c r="J186" s="225">
        <f>SUM(J187:J189)</f>
        <v>13209926</v>
      </c>
      <c r="K186" s="225">
        <f>SUM(K187:K189)</f>
        <v>0</v>
      </c>
      <c r="L186" s="225">
        <f>SUM(L187:L189)</f>
        <v>13071401.470000001</v>
      </c>
      <c r="M186" s="226">
        <f t="shared" si="117"/>
        <v>0.98951360287710932</v>
      </c>
      <c r="N186" s="226">
        <f t="shared" si="118"/>
        <v>0</v>
      </c>
      <c r="O186" s="226">
        <f t="shared" si="125"/>
        <v>0</v>
      </c>
      <c r="P186" s="225">
        <f>SUM(P187:P189)</f>
        <v>3</v>
      </c>
      <c r="Q186" s="225">
        <v>13071401.470000001</v>
      </c>
      <c r="R186" s="226">
        <v>0.98951360287710932</v>
      </c>
      <c r="S186" s="225">
        <f>SUM(S187:S189)</f>
        <v>13071401.470000001</v>
      </c>
      <c r="T186" s="226">
        <f t="shared" si="119"/>
        <v>0.98951360287710932</v>
      </c>
      <c r="U186" s="226">
        <f t="shared" si="120"/>
        <v>0</v>
      </c>
      <c r="V186" s="226">
        <f t="shared" si="126"/>
        <v>0</v>
      </c>
      <c r="W186" s="225">
        <f>SUM(W187:W189)</f>
        <v>3</v>
      </c>
      <c r="X186" s="225">
        <v>13071401.470000001</v>
      </c>
      <c r="Y186" s="226">
        <v>0.98951360287710932</v>
      </c>
      <c r="Z186" s="225">
        <f>SUM(Z187:Z189)</f>
        <v>13071401.470000001</v>
      </c>
      <c r="AA186" s="226">
        <f t="shared" si="121"/>
        <v>0.98951360287710932</v>
      </c>
      <c r="AB186" s="226">
        <f t="shared" si="122"/>
        <v>0</v>
      </c>
      <c r="AC186" s="226">
        <f t="shared" si="115"/>
        <v>0</v>
      </c>
      <c r="AD186" s="225">
        <f>SUM(AD187:AD189)</f>
        <v>3</v>
      </c>
      <c r="AE186" s="225">
        <v>13071401.470000001</v>
      </c>
      <c r="AF186" s="226">
        <v>0.98951360287710932</v>
      </c>
      <c r="AG186" s="225">
        <f>SUM(AG187:AG189)</f>
        <v>13071401.48</v>
      </c>
      <c r="AH186" s="226">
        <f t="shared" si="123"/>
        <v>0.98951360363411578</v>
      </c>
      <c r="AI186" s="226">
        <f t="shared" si="124"/>
        <v>0</v>
      </c>
      <c r="AJ186" s="226">
        <f t="shared" si="116"/>
        <v>0</v>
      </c>
      <c r="AK186" s="225">
        <v>13071401.48</v>
      </c>
      <c r="AL186" s="226">
        <v>0.98951360363411578</v>
      </c>
    </row>
    <row r="187" spans="1:38" ht="39.75" customHeight="1" x14ac:dyDescent="0.3">
      <c r="A187" s="255" t="s">
        <v>333</v>
      </c>
      <c r="B187" s="256" t="str">
        <f>VLOOKUP(A187,saīsinājumi_LV_ENG!A:G,5,FALSE)</f>
        <v>Profesionāla sociālā darba attīstība</v>
      </c>
      <c r="C187" s="12" t="s">
        <v>213</v>
      </c>
      <c r="D187" s="12"/>
      <c r="E187" s="40" t="str">
        <f>Pasākumu_līmenis!D129</f>
        <v>ESF</v>
      </c>
      <c r="F187" s="40" t="str">
        <f>Pasākumu_līmenis!E129</f>
        <v>LM</v>
      </c>
      <c r="G187" s="279" t="str">
        <f>VLOOKUP(A187,'2. Intervences kategorijas - Pa'!B:D,2,FALSE)</f>
        <v>09 - Veicināt sociālo iekļautību, apkarot nabadzību un jebkādu diskrimināciju</v>
      </c>
      <c r="H187" s="171">
        <f>Pasākumu_līmenis!F129</f>
        <v>8955085</v>
      </c>
      <c r="I187" s="171">
        <f>Pasākumu_līmenis!G129</f>
        <v>0</v>
      </c>
      <c r="J187" s="171">
        <f>Pasākumu_līmenis!H129</f>
        <v>8955085</v>
      </c>
      <c r="K187" s="171">
        <f>Pasākumu_līmenis!I129</f>
        <v>0</v>
      </c>
      <c r="L187" s="171">
        <f>Pasākumu_līmenis!J129</f>
        <v>8826837.9700000007</v>
      </c>
      <c r="M187" s="172">
        <f t="shared" si="117"/>
        <v>0.98567885955298029</v>
      </c>
      <c r="N187" s="172">
        <f t="shared" si="118"/>
        <v>0</v>
      </c>
      <c r="O187" s="172">
        <f t="shared" si="125"/>
        <v>0</v>
      </c>
      <c r="P187" s="171">
        <f>Pasākumu_līmenis!N129</f>
        <v>1</v>
      </c>
      <c r="Q187" s="171">
        <v>8826837.9700000007</v>
      </c>
      <c r="R187" s="172">
        <v>0.98567885955298029</v>
      </c>
      <c r="S187" s="171">
        <f>Pasākumu_līmenis!Q129</f>
        <v>8826837.9700000007</v>
      </c>
      <c r="T187" s="172">
        <f t="shared" si="119"/>
        <v>0.98567885955298029</v>
      </c>
      <c r="U187" s="172">
        <f t="shared" si="120"/>
        <v>0</v>
      </c>
      <c r="V187" s="172">
        <f t="shared" si="126"/>
        <v>0</v>
      </c>
      <c r="W187" s="171">
        <f>Pasākumu_līmenis!U129</f>
        <v>1</v>
      </c>
      <c r="X187" s="171">
        <v>8826837.9700000007</v>
      </c>
      <c r="Y187" s="172">
        <v>0.98567885955298029</v>
      </c>
      <c r="Z187" s="171">
        <f>Pasākumu_līmenis!X129</f>
        <v>8826837.9700000007</v>
      </c>
      <c r="AA187" s="172">
        <f t="shared" si="121"/>
        <v>0.98567885955298029</v>
      </c>
      <c r="AB187" s="172">
        <f t="shared" si="122"/>
        <v>0</v>
      </c>
      <c r="AC187" s="172">
        <f t="shared" si="115"/>
        <v>0</v>
      </c>
      <c r="AD187" s="171">
        <f>Pasākumu_līmenis!AB129</f>
        <v>1</v>
      </c>
      <c r="AE187" s="171">
        <v>8826837.9700000007</v>
      </c>
      <c r="AF187" s="172">
        <v>0.98567885955298029</v>
      </c>
      <c r="AG187" s="171">
        <f>Pasākumu_līmenis!AE129</f>
        <v>8826837.9700000007</v>
      </c>
      <c r="AH187" s="172">
        <f t="shared" si="123"/>
        <v>0.98567885955298029</v>
      </c>
      <c r="AI187" s="172">
        <f t="shared" si="124"/>
        <v>0</v>
      </c>
      <c r="AJ187" s="172">
        <f t="shared" si="116"/>
        <v>0</v>
      </c>
      <c r="AK187" s="171">
        <v>8826837.9700000007</v>
      </c>
      <c r="AL187" s="172">
        <v>0.98567885955298029</v>
      </c>
    </row>
    <row r="188" spans="1:38" ht="39.75" customHeight="1" x14ac:dyDescent="0.3">
      <c r="A188" s="255" t="s">
        <v>334</v>
      </c>
      <c r="B188" s="256" t="str">
        <f>VLOOKUP(A188,saīsinājumi_LV_ENG!A:G,5,FALSE)</f>
        <v>Iekļaujoša darba tirgus un nabadzības risku pētījumi</v>
      </c>
      <c r="C188" s="12" t="s">
        <v>214</v>
      </c>
      <c r="D188" s="12"/>
      <c r="E188" s="40" t="str">
        <f>Pasākumu_līmenis!D130</f>
        <v>ESF</v>
      </c>
      <c r="F188" s="40" t="str">
        <f>Pasākumu_līmenis!E130</f>
        <v>LM</v>
      </c>
      <c r="G188" s="279" t="str">
        <f>VLOOKUP(A188,'2. Intervences kategorijas - Pa'!B:D,2,FALSE)</f>
        <v>09 - Veicināt sociālo iekļautību, apkarot nabadzību un jebkādu diskrimināciju</v>
      </c>
      <c r="H188" s="171">
        <f>Pasākumu_līmenis!F130</f>
        <v>928452</v>
      </c>
      <c r="I188" s="171">
        <f>Pasākumu_līmenis!G130</f>
        <v>0</v>
      </c>
      <c r="J188" s="171">
        <f>Pasākumu_līmenis!H130</f>
        <v>928452</v>
      </c>
      <c r="K188" s="171">
        <f>Pasākumu_līmenis!I130</f>
        <v>0</v>
      </c>
      <c r="L188" s="171">
        <f>Pasākumu_līmenis!J130</f>
        <v>928452</v>
      </c>
      <c r="M188" s="172">
        <f t="shared" si="117"/>
        <v>1</v>
      </c>
      <c r="N188" s="172">
        <f t="shared" si="118"/>
        <v>0</v>
      </c>
      <c r="O188" s="172">
        <f t="shared" si="125"/>
        <v>0</v>
      </c>
      <c r="P188" s="171">
        <f>Pasākumu_līmenis!N130</f>
        <v>1</v>
      </c>
      <c r="Q188" s="171">
        <v>928452</v>
      </c>
      <c r="R188" s="172">
        <v>1</v>
      </c>
      <c r="S188" s="171">
        <f>Pasākumu_līmenis!Q130</f>
        <v>928452</v>
      </c>
      <c r="T188" s="172">
        <f t="shared" si="119"/>
        <v>1</v>
      </c>
      <c r="U188" s="172">
        <f t="shared" si="120"/>
        <v>0</v>
      </c>
      <c r="V188" s="172">
        <f t="shared" si="126"/>
        <v>0</v>
      </c>
      <c r="W188" s="171">
        <f>Pasākumu_līmenis!U130</f>
        <v>1</v>
      </c>
      <c r="X188" s="171">
        <v>928452</v>
      </c>
      <c r="Y188" s="172">
        <v>1</v>
      </c>
      <c r="Z188" s="171">
        <f>Pasākumu_līmenis!X130</f>
        <v>928452</v>
      </c>
      <c r="AA188" s="172">
        <f t="shared" si="121"/>
        <v>1</v>
      </c>
      <c r="AB188" s="172">
        <f t="shared" si="122"/>
        <v>0</v>
      </c>
      <c r="AC188" s="172">
        <f t="shared" si="115"/>
        <v>0</v>
      </c>
      <c r="AD188" s="171">
        <f>Pasākumu_līmenis!AB130</f>
        <v>1</v>
      </c>
      <c r="AE188" s="171">
        <v>928452</v>
      </c>
      <c r="AF188" s="172">
        <v>1</v>
      </c>
      <c r="AG188" s="171">
        <f>Pasākumu_līmenis!AE130</f>
        <v>928452</v>
      </c>
      <c r="AH188" s="172">
        <f t="shared" si="123"/>
        <v>1</v>
      </c>
      <c r="AI188" s="172">
        <f t="shared" si="124"/>
        <v>0</v>
      </c>
      <c r="AJ188" s="172">
        <f t="shared" si="116"/>
        <v>0</v>
      </c>
      <c r="AK188" s="171">
        <v>928452</v>
      </c>
      <c r="AL188" s="172">
        <v>1</v>
      </c>
    </row>
    <row r="189" spans="1:38" ht="59.25" customHeight="1" x14ac:dyDescent="0.3">
      <c r="A189" s="255" t="s">
        <v>335</v>
      </c>
      <c r="B189" s="256" t="str">
        <f>VLOOKUP(A189,saīsinājumi_LV_ENG!A:G,5,FALSE)</f>
        <v>Atbalsts speciālistiem darbam ar bērniem ar uzvedības un saskarsmes traucējumiem</v>
      </c>
      <c r="C189" s="12" t="s">
        <v>215</v>
      </c>
      <c r="D189" s="12"/>
      <c r="E189" s="40" t="str">
        <f>Pasākumu_līmenis!D131</f>
        <v>ESF</v>
      </c>
      <c r="F189" s="40" t="str">
        <f>Pasākumu_līmenis!E131</f>
        <v>LM</v>
      </c>
      <c r="G189" s="279" t="str">
        <f>VLOOKUP(A189,'2. Intervences kategorijas - Pa'!B:D,2,FALSE)</f>
        <v>09 - Veicināt sociālo iekļautību, apkarot nabadzību un jebkādu diskrimināciju</v>
      </c>
      <c r="H189" s="171">
        <f>Pasākumu_līmenis!F131</f>
        <v>3326389</v>
      </c>
      <c r="I189" s="171">
        <f>Pasākumu_līmenis!G131</f>
        <v>0</v>
      </c>
      <c r="J189" s="171">
        <f>Pasākumu_līmenis!H131</f>
        <v>3326389</v>
      </c>
      <c r="K189" s="171">
        <f>Pasākumu_līmenis!I131</f>
        <v>0</v>
      </c>
      <c r="L189" s="171">
        <f>Pasākumu_līmenis!J131</f>
        <v>3316111.5</v>
      </c>
      <c r="M189" s="172">
        <f t="shared" si="117"/>
        <v>0.99691031325560542</v>
      </c>
      <c r="N189" s="172">
        <f t="shared" si="118"/>
        <v>0</v>
      </c>
      <c r="O189" s="172">
        <f t="shared" si="125"/>
        <v>0</v>
      </c>
      <c r="P189" s="171">
        <f>Pasākumu_līmenis!N131</f>
        <v>1</v>
      </c>
      <c r="Q189" s="171">
        <v>3316111.5</v>
      </c>
      <c r="R189" s="172">
        <v>0.99691031325560542</v>
      </c>
      <c r="S189" s="171">
        <f>Pasākumu_līmenis!Q131</f>
        <v>3316111.5</v>
      </c>
      <c r="T189" s="172">
        <f t="shared" si="119"/>
        <v>0.99691031325560542</v>
      </c>
      <c r="U189" s="172">
        <f t="shared" si="120"/>
        <v>0</v>
      </c>
      <c r="V189" s="172">
        <f t="shared" si="126"/>
        <v>0</v>
      </c>
      <c r="W189" s="171">
        <f>Pasākumu_līmenis!U131</f>
        <v>1</v>
      </c>
      <c r="X189" s="171">
        <v>3316111.5</v>
      </c>
      <c r="Y189" s="172">
        <v>0.99691031325560542</v>
      </c>
      <c r="Z189" s="171">
        <f>Pasākumu_līmenis!X131</f>
        <v>3316111.5</v>
      </c>
      <c r="AA189" s="172">
        <f t="shared" si="121"/>
        <v>0.99691031325560542</v>
      </c>
      <c r="AB189" s="172">
        <f t="shared" si="122"/>
        <v>0</v>
      </c>
      <c r="AC189" s="172">
        <f t="shared" si="115"/>
        <v>0</v>
      </c>
      <c r="AD189" s="171">
        <f>Pasākumu_līmenis!AB131</f>
        <v>1</v>
      </c>
      <c r="AE189" s="171">
        <v>3316111.5</v>
      </c>
      <c r="AF189" s="172">
        <v>0.99691031325560542</v>
      </c>
      <c r="AG189" s="171">
        <f>Pasākumu_līmenis!AE131</f>
        <v>3316111.51</v>
      </c>
      <c r="AH189" s="172">
        <f t="shared" si="123"/>
        <v>0.99691031626186832</v>
      </c>
      <c r="AI189" s="172">
        <f t="shared" si="124"/>
        <v>0</v>
      </c>
      <c r="AJ189" s="172">
        <f t="shared" si="116"/>
        <v>0</v>
      </c>
      <c r="AK189" s="171">
        <v>3316111.51</v>
      </c>
      <c r="AL189" s="172">
        <v>0.99691031626186832</v>
      </c>
    </row>
    <row r="190" spans="1:38" ht="93" customHeight="1" x14ac:dyDescent="0.3">
      <c r="A190" s="253" t="s">
        <v>454</v>
      </c>
      <c r="B190" s="254" t="str">
        <f>VLOOKUP(A190,saīsinājumi_LV_ENG!A:G,5,FALSE)</f>
        <v xml:space="preserve">Sabiedrībā balstīti sociālie pakalpojumi personām ar invaliditāti un ģimeniskai videi pietuvināti pakalpojumi bērniem </v>
      </c>
      <c r="C190" s="222" t="s">
        <v>136</v>
      </c>
      <c r="D190" s="222"/>
      <c r="E190" s="224"/>
      <c r="F190" s="224"/>
      <c r="G190" s="278"/>
      <c r="H190" s="225">
        <f>SUM(H191:H193)</f>
        <v>53552788</v>
      </c>
      <c r="I190" s="225">
        <f>SUM(I191:I193)</f>
        <v>0</v>
      </c>
      <c r="J190" s="225">
        <f>SUM(J191:J193)</f>
        <v>53552788</v>
      </c>
      <c r="K190" s="225">
        <f>SUM(K191:K193)</f>
        <v>3167387</v>
      </c>
      <c r="L190" s="225">
        <f>SUM(L191:L193)</f>
        <v>53162289.199999996</v>
      </c>
      <c r="M190" s="226">
        <f t="shared" si="117"/>
        <v>0.99270815181461691</v>
      </c>
      <c r="N190" s="226">
        <f t="shared" si="118"/>
        <v>0</v>
      </c>
      <c r="O190" s="226">
        <f t="shared" si="125"/>
        <v>0</v>
      </c>
      <c r="P190" s="225">
        <f>SUM(P191:P193)</f>
        <v>61</v>
      </c>
      <c r="Q190" s="225">
        <v>53162289.199999996</v>
      </c>
      <c r="R190" s="226">
        <v>0.99270815181461691</v>
      </c>
      <c r="S190" s="225">
        <f>SUM(S191:S193)</f>
        <v>53162289.199999996</v>
      </c>
      <c r="T190" s="226">
        <f t="shared" si="119"/>
        <v>0.99270815181461691</v>
      </c>
      <c r="U190" s="226">
        <f t="shared" si="120"/>
        <v>0</v>
      </c>
      <c r="V190" s="226">
        <f t="shared" si="126"/>
        <v>0</v>
      </c>
      <c r="W190" s="225">
        <f>SUM(W191:W193)</f>
        <v>61</v>
      </c>
      <c r="X190" s="225">
        <v>53162289.199999996</v>
      </c>
      <c r="Y190" s="226">
        <v>0.99270815181461691</v>
      </c>
      <c r="Z190" s="225">
        <f>SUM(Z191:Z193)</f>
        <v>53162289.199999996</v>
      </c>
      <c r="AA190" s="226">
        <f t="shared" si="121"/>
        <v>0.99270815181461691</v>
      </c>
      <c r="AB190" s="226">
        <f t="shared" si="122"/>
        <v>0</v>
      </c>
      <c r="AC190" s="226">
        <f t="shared" si="115"/>
        <v>0</v>
      </c>
      <c r="AD190" s="225">
        <f>SUM(AD191:AD193)</f>
        <v>61</v>
      </c>
      <c r="AE190" s="225">
        <v>53162289.199999996</v>
      </c>
      <c r="AF190" s="226">
        <v>0.99270815181461691</v>
      </c>
      <c r="AG190" s="225">
        <f>SUM(AG191:AG193)</f>
        <v>53162289.199999996</v>
      </c>
      <c r="AH190" s="226">
        <f t="shared" si="123"/>
        <v>0.99270815181461691</v>
      </c>
      <c r="AI190" s="226">
        <f t="shared" si="124"/>
        <v>0</v>
      </c>
      <c r="AJ190" s="226">
        <f t="shared" si="116"/>
        <v>0</v>
      </c>
      <c r="AK190" s="225">
        <v>53162289.199999996</v>
      </c>
      <c r="AL190" s="226">
        <v>0.99270815181461691</v>
      </c>
    </row>
    <row r="191" spans="1:38" ht="21" customHeight="1" x14ac:dyDescent="0.3">
      <c r="A191" s="255" t="s">
        <v>336</v>
      </c>
      <c r="B191" s="256" t="str">
        <f>VLOOKUP(A191,saīsinājumi_LV_ENG!A:G,5,FALSE)</f>
        <v>Deinstitucionalizācija</v>
      </c>
      <c r="C191" s="12" t="s">
        <v>216</v>
      </c>
      <c r="D191" s="12"/>
      <c r="E191" s="40" t="str">
        <f>Pasākumu_līmenis!D132</f>
        <v>ESF</v>
      </c>
      <c r="F191" s="40" t="str">
        <f>Pasākumu_līmenis!E132</f>
        <v>LM</v>
      </c>
      <c r="G191" s="279" t="str">
        <f>VLOOKUP(A191,'2. Intervences kategorijas - Pa'!B:D,2,FALSE)</f>
        <v>09 - Veicināt sociālo iekļautību, apkarot nabadzību un jebkādu diskrimināciju</v>
      </c>
      <c r="H191" s="171">
        <f>Pasākumu_līmenis!F132</f>
        <v>41907354</v>
      </c>
      <c r="I191" s="171">
        <f>Pasākumu_līmenis!G132</f>
        <v>0</v>
      </c>
      <c r="J191" s="171">
        <f>Pasākumu_līmenis!H132</f>
        <v>41907354</v>
      </c>
      <c r="K191" s="171">
        <f>Pasākumu_līmenis!I132</f>
        <v>3167387</v>
      </c>
      <c r="L191" s="171">
        <f>Pasākumu_līmenis!J132</f>
        <v>41806492.579999998</v>
      </c>
      <c r="M191" s="172">
        <f t="shared" si="117"/>
        <v>0.99759322862521926</v>
      </c>
      <c r="N191" s="172">
        <f>M191-R191</f>
        <v>0</v>
      </c>
      <c r="O191" s="172">
        <f>IFERROR(((L191-Q191)/Q191),0)</f>
        <v>0</v>
      </c>
      <c r="P191" s="171">
        <f>Pasākumu_līmenis!N132</f>
        <v>5</v>
      </c>
      <c r="Q191" s="171">
        <v>41806492.579999998</v>
      </c>
      <c r="R191" s="172">
        <v>0.99759322862521926</v>
      </c>
      <c r="S191" s="171">
        <f>Pasākumu_līmenis!Q132</f>
        <v>41806492.579999998</v>
      </c>
      <c r="T191" s="172">
        <f t="shared" si="119"/>
        <v>0.99759322862521926</v>
      </c>
      <c r="U191" s="172">
        <f t="shared" si="120"/>
        <v>0</v>
      </c>
      <c r="V191" s="172">
        <f t="shared" si="126"/>
        <v>0</v>
      </c>
      <c r="W191" s="171">
        <f>Pasākumu_līmenis!U132</f>
        <v>5</v>
      </c>
      <c r="X191" s="171">
        <v>41806492.579999998</v>
      </c>
      <c r="Y191" s="172">
        <v>0.99759322862521926</v>
      </c>
      <c r="Z191" s="171">
        <f>Pasākumu_līmenis!X132</f>
        <v>41806492.579999998</v>
      </c>
      <c r="AA191" s="172">
        <f t="shared" si="121"/>
        <v>0.99759322862521926</v>
      </c>
      <c r="AB191" s="172">
        <f t="shared" si="122"/>
        <v>0</v>
      </c>
      <c r="AC191" s="172">
        <f t="shared" si="115"/>
        <v>0</v>
      </c>
      <c r="AD191" s="171">
        <f>Pasākumu_līmenis!AB132</f>
        <v>5</v>
      </c>
      <c r="AE191" s="171">
        <v>41806492.579999998</v>
      </c>
      <c r="AF191" s="172">
        <v>0.99759322862521926</v>
      </c>
      <c r="AG191" s="171">
        <f>Pasākumu_līmenis!AE132</f>
        <v>41806492.579999998</v>
      </c>
      <c r="AH191" s="172">
        <f t="shared" si="123"/>
        <v>0.99759322862521926</v>
      </c>
      <c r="AI191" s="172">
        <f t="shared" si="124"/>
        <v>0</v>
      </c>
      <c r="AJ191" s="172">
        <f t="shared" si="116"/>
        <v>0</v>
      </c>
      <c r="AK191" s="171">
        <v>41806492.579999998</v>
      </c>
      <c r="AL191" s="172">
        <v>0.99759322862521926</v>
      </c>
    </row>
    <row r="192" spans="1:38" ht="39.75" customHeight="1" x14ac:dyDescent="0.3">
      <c r="A192" s="255" t="s">
        <v>337</v>
      </c>
      <c r="B192" s="256" t="str">
        <f>VLOOKUP(A192,saīsinājumi_LV_ENG!A:G,5,FALSE)</f>
        <v>Sociālo pakalpojumu sistēmas pilnveide</v>
      </c>
      <c r="C192" s="12" t="s">
        <v>217</v>
      </c>
      <c r="D192" s="12"/>
      <c r="E192" s="40" t="str">
        <f>Pasākumu_līmenis!D133</f>
        <v>ESF</v>
      </c>
      <c r="F192" s="40" t="str">
        <f>Pasākumu_līmenis!E133</f>
        <v>LM</v>
      </c>
      <c r="G192" s="279" t="str">
        <f>VLOOKUP(A192,'2. Intervences kategorijas - Pa'!B:D,2,FALSE)</f>
        <v>09 - Veicināt sociālo iekļautību, apkarot nabadzību un jebkādu diskrimināciju</v>
      </c>
      <c r="H192" s="171">
        <f>Pasākumu_līmenis!F133</f>
        <v>4349512</v>
      </c>
      <c r="I192" s="171">
        <f>Pasākumu_līmenis!G133</f>
        <v>0</v>
      </c>
      <c r="J192" s="171">
        <f>Pasākumu_līmenis!H133</f>
        <v>4349512</v>
      </c>
      <c r="K192" s="171">
        <f>Pasākumu_līmenis!I133</f>
        <v>0</v>
      </c>
      <c r="L192" s="171">
        <f>Pasākumu_līmenis!J133</f>
        <v>4269595.83</v>
      </c>
      <c r="M192" s="172">
        <f t="shared" si="117"/>
        <v>0.98162640544502466</v>
      </c>
      <c r="N192" s="172">
        <f t="shared" si="118"/>
        <v>0</v>
      </c>
      <c r="O192" s="172">
        <f t="shared" si="125"/>
        <v>0</v>
      </c>
      <c r="P192" s="171">
        <f>Pasākumu_līmenis!N133</f>
        <v>1</v>
      </c>
      <c r="Q192" s="171">
        <v>4269595.83</v>
      </c>
      <c r="R192" s="172">
        <v>0.98162640544502466</v>
      </c>
      <c r="S192" s="171">
        <f>Pasākumu_līmenis!Q133</f>
        <v>4269595.83</v>
      </c>
      <c r="T192" s="172">
        <f t="shared" si="119"/>
        <v>0.98162640544502466</v>
      </c>
      <c r="U192" s="172">
        <f t="shared" si="120"/>
        <v>0</v>
      </c>
      <c r="V192" s="172">
        <f t="shared" si="126"/>
        <v>0</v>
      </c>
      <c r="W192" s="171">
        <f>Pasākumu_līmenis!U133</f>
        <v>1</v>
      </c>
      <c r="X192" s="171">
        <v>4269595.83</v>
      </c>
      <c r="Y192" s="172">
        <v>0.98162640544502466</v>
      </c>
      <c r="Z192" s="171">
        <f>Pasākumu_līmenis!X133</f>
        <v>4269595.83</v>
      </c>
      <c r="AA192" s="172">
        <f t="shared" si="121"/>
        <v>0.98162640544502466</v>
      </c>
      <c r="AB192" s="172">
        <f t="shared" si="122"/>
        <v>0</v>
      </c>
      <c r="AC192" s="172">
        <f t="shared" si="115"/>
        <v>0</v>
      </c>
      <c r="AD192" s="171">
        <f>Pasākumu_līmenis!AB133</f>
        <v>1</v>
      </c>
      <c r="AE192" s="171">
        <v>4269595.83</v>
      </c>
      <c r="AF192" s="172">
        <v>0.98162640544502466</v>
      </c>
      <c r="AG192" s="171">
        <f>Pasākumu_līmenis!AE133</f>
        <v>4269595.83</v>
      </c>
      <c r="AH192" s="172">
        <f t="shared" si="123"/>
        <v>0.98162640544502466</v>
      </c>
      <c r="AI192" s="172">
        <f t="shared" si="124"/>
        <v>0</v>
      </c>
      <c r="AJ192" s="172">
        <f t="shared" si="116"/>
        <v>0</v>
      </c>
      <c r="AK192" s="171">
        <v>4269595.83</v>
      </c>
      <c r="AL192" s="172">
        <v>0.98162640544502466</v>
      </c>
    </row>
    <row r="193" spans="1:38" ht="39.75" customHeight="1" x14ac:dyDescent="0.3">
      <c r="A193" s="255" t="s">
        <v>1247</v>
      </c>
      <c r="B193" s="256" t="str">
        <f>VLOOKUP(A193,saīsinājumi_LV_ENG!A:G,5,FALSE)</f>
        <v>Sabiedrībā balstītu sociālo pakalpojumu sniegšana</v>
      </c>
      <c r="C193" s="12"/>
      <c r="D193" s="12"/>
      <c r="E193" s="40" t="str">
        <f>Pasākumu_līmenis!D134</f>
        <v>ESF</v>
      </c>
      <c r="F193" s="40" t="str">
        <f>Pasākumu_līmenis!E134</f>
        <v>LM</v>
      </c>
      <c r="G193" s="279" t="s">
        <v>1258</v>
      </c>
      <c r="H193" s="171">
        <f>Pasākumu_līmenis!F134</f>
        <v>7295922</v>
      </c>
      <c r="I193" s="171">
        <f>Pasākumu_līmenis!G134</f>
        <v>0</v>
      </c>
      <c r="J193" s="171">
        <f>Pasākumu_līmenis!H134</f>
        <v>7295922</v>
      </c>
      <c r="K193" s="171">
        <f>Pasākumu_līmenis!I134</f>
        <v>0</v>
      </c>
      <c r="L193" s="171">
        <f>Pasākumu_līmenis!J134</f>
        <v>7086200.79</v>
      </c>
      <c r="M193" s="172">
        <f t="shared" si="117"/>
        <v>0.97125500930519815</v>
      </c>
      <c r="N193" s="172">
        <f t="shared" si="118"/>
        <v>0</v>
      </c>
      <c r="O193" s="172">
        <f t="shared" si="125"/>
        <v>0</v>
      </c>
      <c r="P193" s="171">
        <f>Pasākumu_līmenis!N134</f>
        <v>55</v>
      </c>
      <c r="Q193" s="171">
        <v>7086200.79</v>
      </c>
      <c r="R193" s="172">
        <v>0.97125500930519815</v>
      </c>
      <c r="S193" s="171">
        <f>Pasākumu_līmenis!Q134</f>
        <v>7086200.79</v>
      </c>
      <c r="T193" s="172">
        <f t="shared" si="119"/>
        <v>0.97125500930519815</v>
      </c>
      <c r="U193" s="172">
        <f t="shared" si="120"/>
        <v>0</v>
      </c>
      <c r="V193" s="172">
        <f t="shared" si="126"/>
        <v>0</v>
      </c>
      <c r="W193" s="171">
        <f>Pasākumu_līmenis!U134</f>
        <v>55</v>
      </c>
      <c r="X193" s="171">
        <v>7086200.79</v>
      </c>
      <c r="Y193" s="172">
        <v>0.97125500930519815</v>
      </c>
      <c r="Z193" s="171">
        <f>Pasākumu_līmenis!X134</f>
        <v>7086200.79</v>
      </c>
      <c r="AA193" s="172">
        <f t="shared" si="121"/>
        <v>0.97125500930519815</v>
      </c>
      <c r="AB193" s="172">
        <f t="shared" si="122"/>
        <v>0</v>
      </c>
      <c r="AC193" s="172">
        <f t="shared" si="115"/>
        <v>0</v>
      </c>
      <c r="AD193" s="171">
        <f>Pasākumu_līmenis!AB134</f>
        <v>55</v>
      </c>
      <c r="AE193" s="171">
        <v>7086200.79</v>
      </c>
      <c r="AF193" s="172">
        <v>0.97125500930519815</v>
      </c>
      <c r="AG193" s="171">
        <f>Pasākumu_līmenis!AE134</f>
        <v>7086200.79</v>
      </c>
      <c r="AH193" s="172">
        <f t="shared" si="123"/>
        <v>0.97125500930519815</v>
      </c>
      <c r="AI193" s="172">
        <f t="shared" si="124"/>
        <v>0</v>
      </c>
      <c r="AJ193" s="172">
        <f t="shared" si="116"/>
        <v>0</v>
      </c>
      <c r="AK193" s="171">
        <v>7086200.79</v>
      </c>
      <c r="AL193" s="172">
        <v>0.97125500930519815</v>
      </c>
    </row>
    <row r="194" spans="1:38" ht="39.75" customHeight="1" x14ac:dyDescent="0.3">
      <c r="A194" s="257" t="s">
        <v>338</v>
      </c>
      <c r="B194" s="256" t="str">
        <f>VLOOKUP(A194,saīsinājumi_LV_ENG!A:G,5,FALSE)</f>
        <v>Tīklu attīstības vadlīnijas un kvalitātes  sistēma</v>
      </c>
      <c r="C194" s="12" t="s">
        <v>137</v>
      </c>
      <c r="D194" s="12"/>
      <c r="E194" s="40" t="str">
        <f>Pasākumu_līmenis!D135</f>
        <v>ESF</v>
      </c>
      <c r="F194" s="40" t="str">
        <f>Pasākumu_līmenis!E135</f>
        <v>VM</v>
      </c>
      <c r="G194" s="279" t="str">
        <f>VLOOKUP(A194,'2. Intervences kategorijas - Pa'!B:D,2,FALSE)</f>
        <v>09 - Veicināt sociālo iekļautību, apkarot nabadzību un jebkādu diskrimināciju</v>
      </c>
      <c r="H194" s="171">
        <f>Pasākumu_līmenis!F135</f>
        <v>4746596</v>
      </c>
      <c r="I194" s="171">
        <f>Pasākumu_līmenis!G135</f>
        <v>0</v>
      </c>
      <c r="J194" s="171">
        <f>Pasākumu_līmenis!H135</f>
        <v>4746596</v>
      </c>
      <c r="K194" s="171">
        <f>Pasākumu_līmenis!I135</f>
        <v>0</v>
      </c>
      <c r="L194" s="171">
        <f>Pasākumu_līmenis!J135</f>
        <v>4744870.0599999996</v>
      </c>
      <c r="M194" s="172">
        <f t="shared" si="117"/>
        <v>0.99963638363155394</v>
      </c>
      <c r="N194" s="172">
        <f t="shared" si="118"/>
        <v>0</v>
      </c>
      <c r="O194" s="172">
        <f t="shared" si="125"/>
        <v>0</v>
      </c>
      <c r="P194" s="171">
        <f>Pasākumu_līmenis!N135</f>
        <v>1</v>
      </c>
      <c r="Q194" s="171">
        <v>4744870.0599999996</v>
      </c>
      <c r="R194" s="172">
        <v>0.99963638363155394</v>
      </c>
      <c r="S194" s="171">
        <f>Pasākumu_līmenis!Q135</f>
        <v>4744870.0599999996</v>
      </c>
      <c r="T194" s="172">
        <f t="shared" si="119"/>
        <v>0.99963638363155394</v>
      </c>
      <c r="U194" s="172">
        <f t="shared" si="120"/>
        <v>0</v>
      </c>
      <c r="V194" s="172">
        <f t="shared" si="126"/>
        <v>0</v>
      </c>
      <c r="W194" s="171">
        <f>Pasākumu_līmenis!U135</f>
        <v>1</v>
      </c>
      <c r="X194" s="171">
        <v>4744870.0599999996</v>
      </c>
      <c r="Y194" s="172">
        <v>0.99963638363155394</v>
      </c>
      <c r="Z194" s="171">
        <f>Pasākumu_līmenis!X135</f>
        <v>4744870.0599999996</v>
      </c>
      <c r="AA194" s="172">
        <f t="shared" si="121"/>
        <v>0.99963638363155394</v>
      </c>
      <c r="AB194" s="172">
        <f t="shared" si="122"/>
        <v>0</v>
      </c>
      <c r="AC194" s="172">
        <f t="shared" si="115"/>
        <v>0</v>
      </c>
      <c r="AD194" s="171">
        <f>Pasākumu_līmenis!AB135</f>
        <v>1</v>
      </c>
      <c r="AE194" s="171">
        <v>4744870.0599999996</v>
      </c>
      <c r="AF194" s="172">
        <v>0.99963638363155394</v>
      </c>
      <c r="AG194" s="171">
        <f>Pasākumu_līmenis!AE135</f>
        <v>4744870.0599999996</v>
      </c>
      <c r="AH194" s="172">
        <f t="shared" si="123"/>
        <v>0.99963638363155394</v>
      </c>
      <c r="AI194" s="172">
        <f t="shared" si="124"/>
        <v>0</v>
      </c>
      <c r="AJ194" s="172">
        <f t="shared" si="116"/>
        <v>0</v>
      </c>
      <c r="AK194" s="171">
        <v>4744870.0599999996</v>
      </c>
      <c r="AL194" s="172">
        <v>0.99963638363155394</v>
      </c>
    </row>
    <row r="195" spans="1:38" ht="39.75" customHeight="1" x14ac:dyDescent="0.3">
      <c r="A195" s="253" t="s">
        <v>455</v>
      </c>
      <c r="B195" s="254" t="str">
        <f>VLOOKUP(A195,saīsinājumi_LV_ENG!A:G,5,FALSE)</f>
        <v>Veselības veicināšanas un slimību profilakse</v>
      </c>
      <c r="C195" s="222" t="s">
        <v>138</v>
      </c>
      <c r="D195" s="222"/>
      <c r="E195" s="224"/>
      <c r="F195" s="224"/>
      <c r="G195" s="278"/>
      <c r="H195" s="225">
        <f>SUM(H196:H197)</f>
        <v>36850225</v>
      </c>
      <c r="I195" s="225">
        <f>SUM(I196:I197)</f>
        <v>0</v>
      </c>
      <c r="J195" s="225">
        <f>SUM(J196:J197)</f>
        <v>36850225</v>
      </c>
      <c r="K195" s="225">
        <f>SUM(K196:K197)</f>
        <v>0</v>
      </c>
      <c r="L195" s="225">
        <f>SUM(L196:L197)</f>
        <v>36325543.689999998</v>
      </c>
      <c r="M195" s="226">
        <f t="shared" si="117"/>
        <v>0.9857617881573314</v>
      </c>
      <c r="N195" s="226">
        <f t="shared" si="118"/>
        <v>0</v>
      </c>
      <c r="O195" s="226">
        <f t="shared" si="125"/>
        <v>0</v>
      </c>
      <c r="P195" s="225">
        <f>SUM(P196:P197)</f>
        <v>97</v>
      </c>
      <c r="Q195" s="225">
        <v>36325543.689999998</v>
      </c>
      <c r="R195" s="226">
        <v>0.9857617881573314</v>
      </c>
      <c r="S195" s="225">
        <f>SUM(S196:S197)</f>
        <v>36325543.689999998</v>
      </c>
      <c r="T195" s="226">
        <f t="shared" si="119"/>
        <v>0.9857617881573314</v>
      </c>
      <c r="U195" s="226">
        <f t="shared" si="120"/>
        <v>0</v>
      </c>
      <c r="V195" s="226">
        <f t="shared" si="126"/>
        <v>0</v>
      </c>
      <c r="W195" s="225">
        <f>SUM(W196:W197)</f>
        <v>97</v>
      </c>
      <c r="X195" s="225">
        <v>36325543.689999998</v>
      </c>
      <c r="Y195" s="226">
        <v>0.9857617881573314</v>
      </c>
      <c r="Z195" s="225">
        <f>SUM(Z196:Z197)</f>
        <v>36325543.689999998</v>
      </c>
      <c r="AA195" s="226">
        <f t="shared" si="121"/>
        <v>0.9857617881573314</v>
      </c>
      <c r="AB195" s="226">
        <f t="shared" si="122"/>
        <v>0</v>
      </c>
      <c r="AC195" s="226">
        <f t="shared" si="115"/>
        <v>0</v>
      </c>
      <c r="AD195" s="225">
        <f>SUM(AD196:AD197)</f>
        <v>97</v>
      </c>
      <c r="AE195" s="225">
        <v>36325543.689999998</v>
      </c>
      <c r="AF195" s="226">
        <v>0.9857617881573314</v>
      </c>
      <c r="AG195" s="225">
        <f>SUM(AG196:AG197)</f>
        <v>36319974.939999998</v>
      </c>
      <c r="AH195" s="226">
        <f t="shared" si="123"/>
        <v>0.9856106696770508</v>
      </c>
      <c r="AI195" s="226">
        <f t="shared" si="124"/>
        <v>0</v>
      </c>
      <c r="AJ195" s="226">
        <f t="shared" si="116"/>
        <v>0</v>
      </c>
      <c r="AK195" s="225">
        <v>36319974.939999998</v>
      </c>
      <c r="AL195" s="226">
        <v>0.9856106696770508</v>
      </c>
    </row>
    <row r="196" spans="1:38" ht="52.5" customHeight="1" x14ac:dyDescent="0.3">
      <c r="A196" s="255" t="s">
        <v>339</v>
      </c>
      <c r="B196" s="256" t="str">
        <f>VLOOKUP(A196,saīsinājumi_LV_ENG!A:G,5,FALSE)</f>
        <v>Kompleksā veselības veicināšana un slimību profilakse</v>
      </c>
      <c r="C196" s="12" t="s">
        <v>218</v>
      </c>
      <c r="D196" s="12"/>
      <c r="E196" s="40" t="str">
        <f>Pasākumu_līmenis!D136</f>
        <v>ESF</v>
      </c>
      <c r="F196" s="40" t="str">
        <f>Pasākumu_līmenis!E136</f>
        <v>VM</v>
      </c>
      <c r="G196" s="279" t="str">
        <f>VLOOKUP(A196,'2. Intervences kategorijas - Pa'!B:D,2,FALSE)</f>
        <v>09 - Veicināt sociālo iekļautību, apkarot nabadzību un jebkādu diskrimināciju</v>
      </c>
      <c r="H196" s="171">
        <f>Pasākumu_līmenis!F136</f>
        <v>10093277</v>
      </c>
      <c r="I196" s="171">
        <f>Pasākumu_līmenis!G136</f>
        <v>0</v>
      </c>
      <c r="J196" s="171">
        <f>Pasākumu_līmenis!H136</f>
        <v>10093277</v>
      </c>
      <c r="K196" s="171">
        <f>Pasākumu_līmenis!I136</f>
        <v>0</v>
      </c>
      <c r="L196" s="171">
        <f>Pasākumu_līmenis!J136</f>
        <v>9918589.5700000003</v>
      </c>
      <c r="M196" s="172">
        <f t="shared" si="117"/>
        <v>0.98269269435486617</v>
      </c>
      <c r="N196" s="172">
        <f t="shared" si="118"/>
        <v>0</v>
      </c>
      <c r="O196" s="172">
        <f t="shared" si="125"/>
        <v>0</v>
      </c>
      <c r="P196" s="171">
        <f>Pasākumu_līmenis!N136</f>
        <v>1</v>
      </c>
      <c r="Q196" s="171">
        <v>9918589.5700000003</v>
      </c>
      <c r="R196" s="172">
        <v>0.98269269435486617</v>
      </c>
      <c r="S196" s="171">
        <f>Pasākumu_līmenis!Q136</f>
        <v>9918589.5700000003</v>
      </c>
      <c r="T196" s="172">
        <f t="shared" si="119"/>
        <v>0.98269269435486617</v>
      </c>
      <c r="U196" s="172">
        <f t="shared" si="120"/>
        <v>0</v>
      </c>
      <c r="V196" s="172">
        <f t="shared" si="126"/>
        <v>0</v>
      </c>
      <c r="W196" s="171">
        <f>Pasākumu_līmenis!U136</f>
        <v>1</v>
      </c>
      <c r="X196" s="171">
        <v>9918589.5700000003</v>
      </c>
      <c r="Y196" s="172">
        <v>0.98269269435486617</v>
      </c>
      <c r="Z196" s="171">
        <f>Pasākumu_līmenis!X136</f>
        <v>9918589.5700000003</v>
      </c>
      <c r="AA196" s="172">
        <f t="shared" si="121"/>
        <v>0.98269269435486617</v>
      </c>
      <c r="AB196" s="172">
        <f t="shared" si="122"/>
        <v>0</v>
      </c>
      <c r="AC196" s="172">
        <f t="shared" si="115"/>
        <v>0</v>
      </c>
      <c r="AD196" s="171">
        <f>Pasākumu_līmenis!AB136</f>
        <v>1</v>
      </c>
      <c r="AE196" s="171">
        <v>9918589.5700000003</v>
      </c>
      <c r="AF196" s="172">
        <v>0.98269269435486617</v>
      </c>
      <c r="AG196" s="171">
        <f>Pasākumu_līmenis!AE136</f>
        <v>9918589.5700000003</v>
      </c>
      <c r="AH196" s="172">
        <f t="shared" si="123"/>
        <v>0.98269269435486617</v>
      </c>
      <c r="AI196" s="172">
        <f t="shared" si="124"/>
        <v>0</v>
      </c>
      <c r="AJ196" s="172">
        <f t="shared" si="116"/>
        <v>0</v>
      </c>
      <c r="AK196" s="171">
        <v>9918589.5700000003</v>
      </c>
      <c r="AL196" s="172">
        <v>0.98269269435486617</v>
      </c>
    </row>
    <row r="197" spans="1:38" ht="39.75" customHeight="1" x14ac:dyDescent="0.3">
      <c r="A197" s="255" t="s">
        <v>340</v>
      </c>
      <c r="B197" s="256" t="str">
        <f>VLOOKUP(A197,saīsinājumi_LV_ENG!A:G,5,FALSE)</f>
        <v>Veselības veicināšana un slimību profilakse pašvaldībās</v>
      </c>
      <c r="C197" s="12" t="s">
        <v>219</v>
      </c>
      <c r="D197" s="12"/>
      <c r="E197" s="40" t="str">
        <f>Pasākumu_līmenis!D137</f>
        <v>ESF</v>
      </c>
      <c r="F197" s="40" t="str">
        <f>Pasākumu_līmenis!E137</f>
        <v>VM</v>
      </c>
      <c r="G197" s="279" t="str">
        <f>VLOOKUP(A197,'2. Intervences kategorijas - Pa'!B:D,2,FALSE)</f>
        <v>09 - Veicināt sociālo iekļautību, apkarot nabadzību un jebkādu diskrimināciju</v>
      </c>
      <c r="H197" s="171">
        <f>Pasākumu_līmenis!F137</f>
        <v>26756948</v>
      </c>
      <c r="I197" s="171">
        <f>Pasākumu_līmenis!G137</f>
        <v>0</v>
      </c>
      <c r="J197" s="171">
        <f>Pasākumu_līmenis!H137</f>
        <v>26756948</v>
      </c>
      <c r="K197" s="171">
        <f>Pasākumu_līmenis!I137</f>
        <v>0</v>
      </c>
      <c r="L197" s="171">
        <f>Pasākumu_līmenis!J137</f>
        <v>26406954.120000001</v>
      </c>
      <c r="M197" s="172">
        <f t="shared" si="117"/>
        <v>0.98691951413890711</v>
      </c>
      <c r="N197" s="172">
        <f t="shared" si="118"/>
        <v>0</v>
      </c>
      <c r="O197" s="172">
        <f t="shared" si="125"/>
        <v>0</v>
      </c>
      <c r="P197" s="171">
        <f>Pasākumu_līmenis!N137</f>
        <v>96</v>
      </c>
      <c r="Q197" s="171">
        <v>26406954.120000001</v>
      </c>
      <c r="R197" s="172">
        <v>0.98691951413890711</v>
      </c>
      <c r="S197" s="171">
        <f>Pasākumu_līmenis!Q137</f>
        <v>26406954.120000001</v>
      </c>
      <c r="T197" s="172">
        <f t="shared" si="119"/>
        <v>0.98691951413890711</v>
      </c>
      <c r="U197" s="172">
        <f t="shared" si="120"/>
        <v>0</v>
      </c>
      <c r="V197" s="172">
        <f t="shared" si="126"/>
        <v>0</v>
      </c>
      <c r="W197" s="171">
        <f>Pasākumu_līmenis!U137</f>
        <v>96</v>
      </c>
      <c r="X197" s="171">
        <v>26406954.120000001</v>
      </c>
      <c r="Y197" s="172">
        <v>0.98691951413890711</v>
      </c>
      <c r="Z197" s="171">
        <f>Pasākumu_līmenis!X137</f>
        <v>26406954.120000001</v>
      </c>
      <c r="AA197" s="172">
        <f t="shared" si="121"/>
        <v>0.98691951413890711</v>
      </c>
      <c r="AB197" s="172">
        <f t="shared" si="122"/>
        <v>0</v>
      </c>
      <c r="AC197" s="172">
        <f t="shared" si="115"/>
        <v>0</v>
      </c>
      <c r="AD197" s="171">
        <f>Pasākumu_līmenis!AB137</f>
        <v>96</v>
      </c>
      <c r="AE197" s="171">
        <v>26406954.120000001</v>
      </c>
      <c r="AF197" s="172">
        <v>0.98691951413890711</v>
      </c>
      <c r="AG197" s="171">
        <f>Pasākumu_līmenis!AE137</f>
        <v>26401385.370000001</v>
      </c>
      <c r="AH197" s="172">
        <f t="shared" si="123"/>
        <v>0.98671139062646462</v>
      </c>
      <c r="AI197" s="172">
        <f t="shared" si="124"/>
        <v>0</v>
      </c>
      <c r="AJ197" s="172">
        <f t="shared" si="116"/>
        <v>0</v>
      </c>
      <c r="AK197" s="171">
        <v>26401385.370000001</v>
      </c>
      <c r="AL197" s="172">
        <v>0.98671139062646462</v>
      </c>
    </row>
    <row r="198" spans="1:38" ht="39.75" customHeight="1" x14ac:dyDescent="0.3">
      <c r="A198" s="257" t="s">
        <v>341</v>
      </c>
      <c r="B198" s="256" t="str">
        <f>VLOOKUP(A198,saīsinājumi_LV_ENG!A:G,5,FALSE)</f>
        <v>Ārstu un māsu piesaiste darbam reģionos</v>
      </c>
      <c r="C198" s="12" t="s">
        <v>139</v>
      </c>
      <c r="D198" s="12"/>
      <c r="E198" s="40" t="str">
        <f>Pasākumu_līmenis!D138</f>
        <v>ESF</v>
      </c>
      <c r="F198" s="40" t="str">
        <f>Pasākumu_līmenis!E138</f>
        <v>VM</v>
      </c>
      <c r="G198" s="279" t="str">
        <f>VLOOKUP(A198,'2. Intervences kategorijas - Pa'!B:D,2,FALSE)</f>
        <v>09 - Veicināt sociālo iekļautību, apkarot nabadzību un jebkādu diskrimināciju</v>
      </c>
      <c r="H198" s="171">
        <f>Pasākumu_līmenis!F138</f>
        <v>14534059</v>
      </c>
      <c r="I198" s="171">
        <f>Pasākumu_līmenis!G138</f>
        <v>1589796</v>
      </c>
      <c r="J198" s="171">
        <f>Pasākumu_līmenis!H138</f>
        <v>16123855</v>
      </c>
      <c r="K198" s="171">
        <f>Pasākumu_līmenis!I138</f>
        <v>0</v>
      </c>
      <c r="L198" s="171">
        <f>Pasākumu_līmenis!J138</f>
        <v>16123855</v>
      </c>
      <c r="M198" s="172">
        <f t="shared" si="117"/>
        <v>1.1093841713453896</v>
      </c>
      <c r="N198" s="172">
        <f t="shared" si="118"/>
        <v>0</v>
      </c>
      <c r="O198" s="172">
        <f t="shared" si="125"/>
        <v>0</v>
      </c>
      <c r="P198" s="171">
        <f>Pasākumu_līmenis!N138</f>
        <v>1</v>
      </c>
      <c r="Q198" s="171">
        <v>16123855</v>
      </c>
      <c r="R198" s="172">
        <v>1.1093841713453896</v>
      </c>
      <c r="S198" s="171">
        <f>Pasākumu_līmenis!Q138</f>
        <v>16123855</v>
      </c>
      <c r="T198" s="172">
        <f t="shared" si="119"/>
        <v>1.1093841713453896</v>
      </c>
      <c r="U198" s="172">
        <f t="shared" si="120"/>
        <v>0</v>
      </c>
      <c r="V198" s="172">
        <f t="shared" si="126"/>
        <v>0</v>
      </c>
      <c r="W198" s="171">
        <f>Pasākumu_līmenis!U138</f>
        <v>1</v>
      </c>
      <c r="X198" s="171">
        <v>16123855</v>
      </c>
      <c r="Y198" s="172">
        <v>1.1093841713453896</v>
      </c>
      <c r="Z198" s="171">
        <f>Pasākumu_līmenis!X138</f>
        <v>16123855</v>
      </c>
      <c r="AA198" s="172">
        <f t="shared" si="121"/>
        <v>1.1093841713453896</v>
      </c>
      <c r="AB198" s="172">
        <f t="shared" si="122"/>
        <v>0</v>
      </c>
      <c r="AC198" s="172">
        <f t="shared" si="115"/>
        <v>0</v>
      </c>
      <c r="AD198" s="171">
        <f>Pasākumu_līmenis!AB138</f>
        <v>1</v>
      </c>
      <c r="AE198" s="171">
        <v>16123855</v>
      </c>
      <c r="AF198" s="172">
        <v>1.1093841713453896</v>
      </c>
      <c r="AG198" s="171">
        <f>Pasākumu_līmenis!AE138</f>
        <v>16123855</v>
      </c>
      <c r="AH198" s="172">
        <f t="shared" si="123"/>
        <v>1.1093841713453896</v>
      </c>
      <c r="AI198" s="172">
        <f t="shared" si="124"/>
        <v>0</v>
      </c>
      <c r="AJ198" s="172">
        <f t="shared" si="116"/>
        <v>0</v>
      </c>
      <c r="AK198" s="171">
        <v>16123855</v>
      </c>
      <c r="AL198" s="172">
        <v>1.1093841713453896</v>
      </c>
    </row>
    <row r="199" spans="1:38" ht="39.75" customHeight="1" x14ac:dyDescent="0.3">
      <c r="A199" s="257" t="s">
        <v>342</v>
      </c>
      <c r="B199" s="256" t="str">
        <f>VLOOKUP(A199,saīsinājumi_LV_ENG!A:G,5,FALSE)</f>
        <v>Ārstniecības personu tālākizglītība</v>
      </c>
      <c r="C199" s="12" t="s">
        <v>140</v>
      </c>
      <c r="D199" s="12"/>
      <c r="E199" s="40" t="str">
        <f>Pasākumu_līmenis!D139</f>
        <v>ESF</v>
      </c>
      <c r="F199" s="40" t="str">
        <f>Pasākumu_līmenis!E139</f>
        <v>VM</v>
      </c>
      <c r="G199" s="279" t="str">
        <f>VLOOKUP(A199,'2. Intervences kategorijas - Pa'!B:D,2,FALSE)</f>
        <v>09 - Veicināt sociālo iekļautību, apkarot nabadzību un jebkādu diskrimināciju</v>
      </c>
      <c r="H199" s="171">
        <f>Pasākumu_līmenis!F139</f>
        <v>11604030</v>
      </c>
      <c r="I199" s="171">
        <f>Pasākumu_līmenis!G139</f>
        <v>0</v>
      </c>
      <c r="J199" s="171">
        <f>Pasākumu_līmenis!H139</f>
        <v>11604030</v>
      </c>
      <c r="K199" s="171">
        <f>Pasākumu_līmenis!I139</f>
        <v>0</v>
      </c>
      <c r="L199" s="171">
        <f>Pasākumu_līmenis!J139</f>
        <v>11417287.84</v>
      </c>
      <c r="M199" s="172">
        <f t="shared" si="117"/>
        <v>0.98390712881645426</v>
      </c>
      <c r="N199" s="172">
        <f t="shared" si="118"/>
        <v>0</v>
      </c>
      <c r="O199" s="172">
        <f t="shared" si="125"/>
        <v>0</v>
      </c>
      <c r="P199" s="171">
        <f>Pasākumu_līmenis!N139</f>
        <v>1</v>
      </c>
      <c r="Q199" s="171">
        <v>11417287.84</v>
      </c>
      <c r="R199" s="172">
        <v>0.98390712881645426</v>
      </c>
      <c r="S199" s="171">
        <f>Pasākumu_līmenis!Q139</f>
        <v>11417287.84</v>
      </c>
      <c r="T199" s="172">
        <f t="shared" si="119"/>
        <v>0.98390712881645426</v>
      </c>
      <c r="U199" s="172">
        <f t="shared" si="120"/>
        <v>0</v>
      </c>
      <c r="V199" s="172">
        <f t="shared" si="126"/>
        <v>0</v>
      </c>
      <c r="W199" s="171">
        <f>Pasākumu_līmenis!U139</f>
        <v>1</v>
      </c>
      <c r="X199" s="171">
        <v>11417287.84</v>
      </c>
      <c r="Y199" s="172">
        <v>0.98390712881645426</v>
      </c>
      <c r="Z199" s="171">
        <f>Pasākumu_līmenis!X139</f>
        <v>11417287.84</v>
      </c>
      <c r="AA199" s="172">
        <f t="shared" si="121"/>
        <v>0.98390712881645426</v>
      </c>
      <c r="AB199" s="172">
        <f t="shared" si="122"/>
        <v>0</v>
      </c>
      <c r="AC199" s="172">
        <f t="shared" si="115"/>
        <v>0</v>
      </c>
      <c r="AD199" s="171">
        <f>Pasākumu_līmenis!AB139</f>
        <v>1</v>
      </c>
      <c r="AE199" s="171">
        <v>11417287.84</v>
      </c>
      <c r="AF199" s="172">
        <v>0.98390712881645426</v>
      </c>
      <c r="AG199" s="171">
        <f>Pasākumu_līmenis!AE139</f>
        <v>11417287.84</v>
      </c>
      <c r="AH199" s="172">
        <f t="shared" si="123"/>
        <v>0.98390712881645426</v>
      </c>
      <c r="AI199" s="172">
        <f t="shared" si="124"/>
        <v>0</v>
      </c>
      <c r="AJ199" s="172">
        <f t="shared" si="116"/>
        <v>0</v>
      </c>
      <c r="AK199" s="171">
        <v>11417287.84</v>
      </c>
      <c r="AL199" s="172">
        <v>0.98390712881645426</v>
      </c>
    </row>
    <row r="200" spans="1:38" ht="39.75" customHeight="1" x14ac:dyDescent="0.3">
      <c r="A200" s="257" t="s">
        <v>1294</v>
      </c>
      <c r="B200" s="256" t="str">
        <f>VLOOKUP(A200,saīsinājumi_LV_ENG!A:G,5,FALSE)</f>
        <v>Ārstniecības personāla piesaiste veselības krīžu novēršanai</v>
      </c>
      <c r="C200" s="12"/>
      <c r="D200" s="12"/>
      <c r="E200" s="40" t="str">
        <f>Pasākumu_līmenis!D140</f>
        <v>ESF</v>
      </c>
      <c r="F200" s="40" t="str">
        <f>Pasākumu_līmenis!E140</f>
        <v>VM</v>
      </c>
      <c r="G200" s="279" t="e">
        <f>VLOOKUP(A200,'2. Intervences kategorijas - Pa'!B:D,2,FALSE)</f>
        <v>#N/A</v>
      </c>
      <c r="H200" s="171">
        <f>Pasākumu_līmenis!F140</f>
        <v>2550000</v>
      </c>
      <c r="I200" s="171">
        <f>Pasākumu_līmenis!G140</f>
        <v>0</v>
      </c>
      <c r="J200" s="171">
        <f>Pasākumu_līmenis!H140</f>
        <v>2550000</v>
      </c>
      <c r="K200" s="171">
        <f>Pasākumu_līmenis!I140</f>
        <v>1</v>
      </c>
      <c r="L200" s="171">
        <f>Pasākumu_līmenis!J140</f>
        <v>2550000</v>
      </c>
      <c r="M200" s="172">
        <f t="shared" ref="M200" si="127">L200/$H200</f>
        <v>1</v>
      </c>
      <c r="N200" s="172">
        <f>M200-R200</f>
        <v>0</v>
      </c>
      <c r="O200" s="172">
        <f t="shared" ref="O200" si="128">IFERROR(((L200-Q200)/Q200),0)</f>
        <v>0</v>
      </c>
      <c r="P200" s="171">
        <f>Pasākumu_līmenis!N140</f>
        <v>1</v>
      </c>
      <c r="Q200" s="171">
        <v>2550000</v>
      </c>
      <c r="R200" s="172">
        <v>1</v>
      </c>
      <c r="S200" s="171">
        <f>Pasākumu_līmenis!Q140</f>
        <v>2550000</v>
      </c>
      <c r="T200" s="172">
        <f t="shared" ref="T200" si="129">S200/$H200</f>
        <v>1</v>
      </c>
      <c r="U200" s="172">
        <f t="shared" ref="U200" si="130">T200-Y200</f>
        <v>0</v>
      </c>
      <c r="V200" s="172">
        <f t="shared" ref="V200" si="131">IFERROR(((S200-X200)/X200),0)</f>
        <v>0</v>
      </c>
      <c r="W200" s="171">
        <f>Pasākumu_līmenis!U140</f>
        <v>1</v>
      </c>
      <c r="X200" s="171">
        <v>2550000</v>
      </c>
      <c r="Y200" s="172">
        <v>1</v>
      </c>
      <c r="Z200" s="171">
        <f>Pasākumu_līmenis!X140</f>
        <v>2550000</v>
      </c>
      <c r="AA200" s="172">
        <f t="shared" ref="AA200" si="132">Z200/$H200</f>
        <v>1</v>
      </c>
      <c r="AB200" s="172">
        <f t="shared" ref="AB200" si="133">AA200-AF200</f>
        <v>0</v>
      </c>
      <c r="AC200" s="172">
        <f t="shared" ref="AC200" si="134">IFERROR(((Z200-AE200)/AE200),0)</f>
        <v>0</v>
      </c>
      <c r="AD200" s="171">
        <f>Pasākumu_līmenis!AB140</f>
        <v>1</v>
      </c>
      <c r="AE200" s="171">
        <v>2550000</v>
      </c>
      <c r="AF200" s="172">
        <v>1</v>
      </c>
      <c r="AG200" s="171">
        <f>Pasākumu_līmenis!AE140</f>
        <v>2550000</v>
      </c>
      <c r="AH200" s="172">
        <f t="shared" ref="AH200" si="135">AG200/$H200</f>
        <v>1</v>
      </c>
      <c r="AI200" s="172">
        <f t="shared" ref="AI200" si="136">AH200-AL200</f>
        <v>0</v>
      </c>
      <c r="AJ200" s="172">
        <f t="shared" ref="AJ200" si="137">IFERROR(((AG200-AK200)/AK200),0)</f>
        <v>0</v>
      </c>
      <c r="AK200" s="171">
        <v>2550000</v>
      </c>
      <c r="AL200" s="172">
        <v>1</v>
      </c>
    </row>
    <row r="201" spans="1:38" ht="39.75" customHeight="1" x14ac:dyDescent="0.3">
      <c r="A201" s="251" t="s">
        <v>220</v>
      </c>
      <c r="B201" s="264" t="str">
        <f>VLOOKUP(A201,saīsinājumi_LV_ENG!A:G,5,FALSE)</f>
        <v>Veselības aprūpes un sociālā infrastruktūra</v>
      </c>
      <c r="C201" s="240" t="s">
        <v>381</v>
      </c>
      <c r="D201" s="217"/>
      <c r="E201" s="219"/>
      <c r="F201" s="219"/>
      <c r="G201" s="277"/>
      <c r="H201" s="220">
        <f>H202+H206</f>
        <v>265728639</v>
      </c>
      <c r="I201" s="220">
        <f>I202+I206</f>
        <v>13723448</v>
      </c>
      <c r="J201" s="220">
        <f>J202+J206</f>
        <v>279452087</v>
      </c>
      <c r="K201" s="220">
        <f>K202+K206</f>
        <v>11795105</v>
      </c>
      <c r="L201" s="220">
        <f>L202+L206</f>
        <v>240036839.20999998</v>
      </c>
      <c r="M201" s="221">
        <f t="shared" si="117"/>
        <v>0.9033156535679242</v>
      </c>
      <c r="N201" s="221">
        <f t="shared" si="118"/>
        <v>0</v>
      </c>
      <c r="O201" s="221">
        <f t="shared" si="125"/>
        <v>0</v>
      </c>
      <c r="P201" s="220">
        <f>P202+P206</f>
        <v>436</v>
      </c>
      <c r="Q201" s="220">
        <v>240036839.20999998</v>
      </c>
      <c r="R201" s="221">
        <v>0.9033156535679242</v>
      </c>
      <c r="S201" s="220">
        <f>S202+S206</f>
        <v>240036839.20999998</v>
      </c>
      <c r="T201" s="221">
        <f t="shared" si="119"/>
        <v>0.9033156535679242</v>
      </c>
      <c r="U201" s="221">
        <f t="shared" si="120"/>
        <v>0</v>
      </c>
      <c r="V201" s="221">
        <f t="shared" si="126"/>
        <v>0</v>
      </c>
      <c r="W201" s="220">
        <f>W202+W206</f>
        <v>436</v>
      </c>
      <c r="X201" s="220">
        <v>240036839.20999998</v>
      </c>
      <c r="Y201" s="221">
        <v>0.9033156535679242</v>
      </c>
      <c r="Z201" s="220">
        <f>Z202+Z206</f>
        <v>240036839.20999998</v>
      </c>
      <c r="AA201" s="221">
        <f t="shared" si="121"/>
        <v>0.9033156535679242</v>
      </c>
      <c r="AB201" s="221">
        <f t="shared" si="122"/>
        <v>0</v>
      </c>
      <c r="AC201" s="221">
        <f t="shared" si="115"/>
        <v>0</v>
      </c>
      <c r="AD201" s="220">
        <f>AD202+AD206</f>
        <v>436</v>
      </c>
      <c r="AE201" s="220">
        <v>240036839.20999998</v>
      </c>
      <c r="AF201" s="221">
        <v>0.9033156535679242</v>
      </c>
      <c r="AG201" s="220">
        <f>AG202+AG206</f>
        <v>237247226.39999998</v>
      </c>
      <c r="AH201" s="221">
        <f t="shared" si="123"/>
        <v>0.89281767781153609</v>
      </c>
      <c r="AI201" s="221">
        <f t="shared" si="124"/>
        <v>0</v>
      </c>
      <c r="AJ201" s="221">
        <f t="shared" si="116"/>
        <v>0</v>
      </c>
      <c r="AK201" s="220">
        <v>237247226.39999998</v>
      </c>
      <c r="AL201" s="221">
        <v>0.89281767781153609</v>
      </c>
    </row>
    <row r="202" spans="1:38" ht="59.25" customHeight="1" x14ac:dyDescent="0.3">
      <c r="A202" s="253" t="s">
        <v>221</v>
      </c>
      <c r="B202" s="254" t="str">
        <f>VLOOKUP(A202,saīsinājumi_LV_ENG!A:G,5,FALSE)</f>
        <v>Infrastruktūra bērnu aprūpei ģimeniskā vidē un personu ar invaliditāti integrācijai sabiedrībā</v>
      </c>
      <c r="C202" s="222" t="s">
        <v>222</v>
      </c>
      <c r="D202" s="222"/>
      <c r="E202" s="224"/>
      <c r="F202" s="224"/>
      <c r="G202" s="278"/>
      <c r="H202" s="225">
        <f>SUM(H203:H205)</f>
        <v>45695733</v>
      </c>
      <c r="I202" s="225">
        <f>SUM(I203:I205)</f>
        <v>782851</v>
      </c>
      <c r="J202" s="225">
        <f>SUM(J203:J205)</f>
        <v>46478584</v>
      </c>
      <c r="K202" s="225">
        <f>SUM(K203:K204)</f>
        <v>2515517</v>
      </c>
      <c r="L202" s="225">
        <f>SUM(L203:L205)</f>
        <v>42922120.389999993</v>
      </c>
      <c r="M202" s="226">
        <f t="shared" si="117"/>
        <v>0.93930259068171629</v>
      </c>
      <c r="N202" s="226">
        <f t="shared" si="118"/>
        <v>0</v>
      </c>
      <c r="O202" s="226">
        <f t="shared" si="125"/>
        <v>0</v>
      </c>
      <c r="P202" s="225">
        <f>SUM(P203:P205)</f>
        <v>71</v>
      </c>
      <c r="Q202" s="225">
        <v>42922120.389999993</v>
      </c>
      <c r="R202" s="226">
        <v>0.93930259068171629</v>
      </c>
      <c r="S202" s="225">
        <f>SUM(S203:S205)</f>
        <v>42922120.389999993</v>
      </c>
      <c r="T202" s="226">
        <f t="shared" si="119"/>
        <v>0.93930259068171629</v>
      </c>
      <c r="U202" s="226">
        <f t="shared" si="120"/>
        <v>0</v>
      </c>
      <c r="V202" s="226">
        <f t="shared" si="126"/>
        <v>0</v>
      </c>
      <c r="W202" s="225">
        <f>SUM(W203:W205)</f>
        <v>71</v>
      </c>
      <c r="X202" s="225">
        <v>42922120.389999993</v>
      </c>
      <c r="Y202" s="226">
        <v>0.93930259068171629</v>
      </c>
      <c r="Z202" s="225">
        <f>SUM(Z203:Z205)</f>
        <v>42922120.389999993</v>
      </c>
      <c r="AA202" s="226">
        <f t="shared" si="121"/>
        <v>0.93930259068171629</v>
      </c>
      <c r="AB202" s="226">
        <f t="shared" si="122"/>
        <v>0</v>
      </c>
      <c r="AC202" s="226">
        <f t="shared" si="115"/>
        <v>0</v>
      </c>
      <c r="AD202" s="225">
        <f>SUM(AD203:AD205)</f>
        <v>71</v>
      </c>
      <c r="AE202" s="225">
        <v>42922120.389999993</v>
      </c>
      <c r="AF202" s="226">
        <v>0.93930259068171629</v>
      </c>
      <c r="AG202" s="225">
        <f>SUM(AG203:AG205)</f>
        <v>42915996.449999996</v>
      </c>
      <c r="AH202" s="226">
        <f t="shared" si="123"/>
        <v>0.93916857510525098</v>
      </c>
      <c r="AI202" s="226">
        <f t="shared" si="124"/>
        <v>0</v>
      </c>
      <c r="AJ202" s="226">
        <f t="shared" si="116"/>
        <v>0</v>
      </c>
      <c r="AK202" s="225">
        <v>42915996.449999996</v>
      </c>
      <c r="AL202" s="226">
        <v>0.93916857510525098</v>
      </c>
    </row>
    <row r="203" spans="1:38" ht="39.75" customHeight="1" x14ac:dyDescent="0.3">
      <c r="A203" s="255" t="s">
        <v>343</v>
      </c>
      <c r="B203" s="256" t="str">
        <f>VLOOKUP(A203,saīsinājumi_LV_ENG!A:G,5,FALSE)</f>
        <v>Infrastruktūra deinstitucionalizācijai</v>
      </c>
      <c r="C203" s="12" t="s">
        <v>223</v>
      </c>
      <c r="D203" s="12"/>
      <c r="E203" s="40" t="str">
        <f>Pasākumu_līmenis!D141</f>
        <v>ERAF</v>
      </c>
      <c r="F203" s="40" t="str">
        <f>Pasākumu_līmenis!E141</f>
        <v>LM</v>
      </c>
      <c r="G203" s="279" t="str">
        <f>VLOOKUP(A203,'2. Intervences kategorijas - Pa'!B:D,2,FALSE)</f>
        <v>09 - Veicināt sociālo iekļautību, apkarot nabadzību un jebkādu diskrimināciju</v>
      </c>
      <c r="H203" s="171">
        <f>Pasākumu_līmenis!F141</f>
        <v>43101670</v>
      </c>
      <c r="I203" s="171">
        <f>Pasākumu_līmenis!G141</f>
        <v>0</v>
      </c>
      <c r="J203" s="171">
        <f>Pasākumu_līmenis!H141</f>
        <v>43101670</v>
      </c>
      <c r="K203" s="171">
        <f>Pasākumu_līmenis!I141</f>
        <v>2515517</v>
      </c>
      <c r="L203" s="171">
        <f>Pasākumu_līmenis!J141</f>
        <v>40839418.009999998</v>
      </c>
      <c r="M203" s="172">
        <f t="shared" si="117"/>
        <v>0.94751358845260514</v>
      </c>
      <c r="N203" s="172">
        <f t="shared" si="118"/>
        <v>0</v>
      </c>
      <c r="O203" s="172">
        <f t="shared" si="125"/>
        <v>0</v>
      </c>
      <c r="P203" s="171">
        <f>Pasākumu_līmenis!N141</f>
        <v>69</v>
      </c>
      <c r="Q203" s="171">
        <v>40839418.009999998</v>
      </c>
      <c r="R203" s="172">
        <v>0.94751358845260514</v>
      </c>
      <c r="S203" s="171">
        <f>Pasākumu_līmenis!Q141</f>
        <v>40839418.009999998</v>
      </c>
      <c r="T203" s="172">
        <f t="shared" si="119"/>
        <v>0.94751358845260514</v>
      </c>
      <c r="U203" s="172">
        <f t="shared" si="120"/>
        <v>0</v>
      </c>
      <c r="V203" s="172">
        <f t="shared" si="126"/>
        <v>0</v>
      </c>
      <c r="W203" s="171">
        <f>Pasākumu_līmenis!U141</f>
        <v>69</v>
      </c>
      <c r="X203" s="171">
        <v>40839418.009999998</v>
      </c>
      <c r="Y203" s="172">
        <v>0.94751358845260514</v>
      </c>
      <c r="Z203" s="171">
        <f>Pasākumu_līmenis!X141</f>
        <v>40839418.009999998</v>
      </c>
      <c r="AA203" s="172">
        <f t="shared" si="121"/>
        <v>0.94751358845260514</v>
      </c>
      <c r="AB203" s="172">
        <f t="shared" si="122"/>
        <v>0</v>
      </c>
      <c r="AC203" s="172">
        <f t="shared" si="115"/>
        <v>0</v>
      </c>
      <c r="AD203" s="171">
        <f>Pasākumu_līmenis!AB141</f>
        <v>69</v>
      </c>
      <c r="AE203" s="171">
        <v>40839418.009999998</v>
      </c>
      <c r="AF203" s="172">
        <v>0.94751358845260514</v>
      </c>
      <c r="AG203" s="171">
        <f>Pasākumu_līmenis!AE141</f>
        <v>40833294.07</v>
      </c>
      <c r="AH203" s="172">
        <f t="shared" si="123"/>
        <v>0.94737150718290031</v>
      </c>
      <c r="AI203" s="172">
        <f t="shared" si="124"/>
        <v>0</v>
      </c>
      <c r="AJ203" s="172">
        <f t="shared" si="116"/>
        <v>0</v>
      </c>
      <c r="AK203" s="171">
        <v>40833294.07</v>
      </c>
      <c r="AL203" s="172">
        <v>0.94737150718290031</v>
      </c>
    </row>
    <row r="204" spans="1:38" ht="39.75" customHeight="1" x14ac:dyDescent="0.3">
      <c r="A204" s="255" t="s">
        <v>237</v>
      </c>
      <c r="B204" s="256" t="str">
        <f>VLOOKUP(A204,saīsinājumi_LV_ENG!A:G,5,FALSE)</f>
        <v xml:space="preserve">Infrastruktūra funkcionalitātes novērtēšanai </v>
      </c>
      <c r="C204" s="12" t="s">
        <v>224</v>
      </c>
      <c r="D204" s="12"/>
      <c r="E204" s="40" t="str">
        <f>Pasākumu_līmenis!D142</f>
        <v>ERAF</v>
      </c>
      <c r="F204" s="40" t="str">
        <f>Pasākumu_līmenis!E142</f>
        <v>LM</v>
      </c>
      <c r="G204" s="279" t="str">
        <f>VLOOKUP(A204,'2. Intervences kategorijas - Pa'!B:D,2,FALSE)</f>
        <v>09 - Veicināt sociālo iekļautību, apkarot nabadzību un jebkādu diskrimināciju</v>
      </c>
      <c r="H204" s="171">
        <f>Pasākumu_līmenis!F142</f>
        <v>2113177</v>
      </c>
      <c r="I204" s="171">
        <f>Pasākumu_līmenis!G142</f>
        <v>0</v>
      </c>
      <c r="J204" s="171">
        <f>Pasākumu_līmenis!H142</f>
        <v>2113177</v>
      </c>
      <c r="K204" s="171">
        <f>Pasākumu_līmenis!I142</f>
        <v>0</v>
      </c>
      <c r="L204" s="171">
        <f>Pasākumu_līmenis!J142</f>
        <v>1782086.8</v>
      </c>
      <c r="M204" s="172">
        <f t="shared" si="117"/>
        <v>0.84332112265087122</v>
      </c>
      <c r="N204" s="172">
        <f t="shared" si="118"/>
        <v>0</v>
      </c>
      <c r="O204" s="172">
        <f t="shared" si="125"/>
        <v>0</v>
      </c>
      <c r="P204" s="171">
        <f>Pasākumu_līmenis!N142</f>
        <v>1</v>
      </c>
      <c r="Q204" s="171">
        <v>1782086.8</v>
      </c>
      <c r="R204" s="172">
        <v>0.84332112265087122</v>
      </c>
      <c r="S204" s="171">
        <f>Pasākumu_līmenis!Q142</f>
        <v>1782086.8</v>
      </c>
      <c r="T204" s="172">
        <f t="shared" si="119"/>
        <v>0.84332112265087122</v>
      </c>
      <c r="U204" s="172">
        <f t="shared" si="120"/>
        <v>0</v>
      </c>
      <c r="V204" s="172">
        <f t="shared" si="126"/>
        <v>0</v>
      </c>
      <c r="W204" s="171">
        <f>Pasākumu_līmenis!U142</f>
        <v>1</v>
      </c>
      <c r="X204" s="171">
        <v>1782086.8</v>
      </c>
      <c r="Y204" s="172">
        <v>0.84332112265087122</v>
      </c>
      <c r="Z204" s="171">
        <f>Pasākumu_līmenis!X142</f>
        <v>1782086.8</v>
      </c>
      <c r="AA204" s="172">
        <f t="shared" si="121"/>
        <v>0.84332112265087122</v>
      </c>
      <c r="AB204" s="172">
        <f t="shared" si="122"/>
        <v>0</v>
      </c>
      <c r="AC204" s="172">
        <f t="shared" si="115"/>
        <v>0</v>
      </c>
      <c r="AD204" s="171">
        <f>Pasākumu_līmenis!AB142</f>
        <v>1</v>
      </c>
      <c r="AE204" s="171">
        <v>1782086.8</v>
      </c>
      <c r="AF204" s="172">
        <v>0.84332112265087122</v>
      </c>
      <c r="AG204" s="171">
        <f>Pasākumu_līmenis!AE142</f>
        <v>1782086.8</v>
      </c>
      <c r="AH204" s="172">
        <f t="shared" si="123"/>
        <v>0.84332112265087122</v>
      </c>
      <c r="AI204" s="172">
        <f t="shared" si="124"/>
        <v>0</v>
      </c>
      <c r="AJ204" s="172">
        <f t="shared" si="116"/>
        <v>0</v>
      </c>
      <c r="AK204" s="171">
        <v>1782086.8</v>
      </c>
      <c r="AL204" s="172">
        <v>0.84332112265087122</v>
      </c>
    </row>
    <row r="205" spans="1:38" ht="51" customHeight="1" x14ac:dyDescent="0.3">
      <c r="A205" s="255" t="s">
        <v>1544</v>
      </c>
      <c r="B205" s="256" t="s">
        <v>1545</v>
      </c>
      <c r="C205" s="12" t="s">
        <v>224</v>
      </c>
      <c r="D205" s="12"/>
      <c r="E205" s="40" t="str">
        <f>Pasākumu_līmenis!D143</f>
        <v>ERAF</v>
      </c>
      <c r="F205" s="40" t="str">
        <f>Pasākumu_līmenis!E143</f>
        <v>LM</v>
      </c>
      <c r="G205" s="279" t="e">
        <f>VLOOKUP(A205,'2. Intervences kategorijas - Pa'!B:D,2,FALSE)</f>
        <v>#N/A</v>
      </c>
      <c r="H205" s="171">
        <f>Pasākumu_līmenis!F143</f>
        <v>480886</v>
      </c>
      <c r="I205" s="171">
        <f>Pasākumu_līmenis!G143</f>
        <v>782851</v>
      </c>
      <c r="J205" s="171">
        <f>Pasākumu_līmenis!H143</f>
        <v>1263737</v>
      </c>
      <c r="K205" s="171">
        <f>Pasākumu_līmenis!I143</f>
        <v>0</v>
      </c>
      <c r="L205" s="171">
        <f>Pasākumu_līmenis!J143</f>
        <v>300615.58</v>
      </c>
      <c r="M205" s="172">
        <f t="shared" ref="M205" si="138">L205/$H205</f>
        <v>0.62512857517166232</v>
      </c>
      <c r="N205" s="172">
        <f t="shared" ref="N205" si="139">M205-R205</f>
        <v>0</v>
      </c>
      <c r="O205" s="172">
        <f t="shared" ref="O205" si="140">IFERROR(((L205-Q205)/Q205),0)</f>
        <v>0</v>
      </c>
      <c r="P205" s="171">
        <f>Pasākumu_līmenis!N143</f>
        <v>1</v>
      </c>
      <c r="Q205" s="171">
        <v>300615.58</v>
      </c>
      <c r="R205" s="172">
        <v>0.62512857517166232</v>
      </c>
      <c r="S205" s="171">
        <f>Pasākumu_līmenis!Q143</f>
        <v>300615.58</v>
      </c>
      <c r="T205" s="172">
        <f t="shared" ref="T205" si="141">S205/$H205</f>
        <v>0.62512857517166232</v>
      </c>
      <c r="U205" s="172">
        <f t="shared" ref="U205" si="142">T205-Y205</f>
        <v>0</v>
      </c>
      <c r="V205" s="172">
        <f t="shared" ref="V205" si="143">IFERROR(((S205-X205)/X205),0)</f>
        <v>0</v>
      </c>
      <c r="W205" s="171">
        <f>Pasākumu_līmenis!U143</f>
        <v>1</v>
      </c>
      <c r="X205" s="171">
        <v>300615.58</v>
      </c>
      <c r="Y205" s="172">
        <v>0.62512857517166232</v>
      </c>
      <c r="Z205" s="171">
        <f>Pasākumu_līmenis!X143</f>
        <v>300615.58</v>
      </c>
      <c r="AA205" s="172">
        <f t="shared" ref="AA205" si="144">Z205/$H205</f>
        <v>0.62512857517166232</v>
      </c>
      <c r="AB205" s="172">
        <f t="shared" ref="AB205" si="145">AA205-AF205</f>
        <v>0</v>
      </c>
      <c r="AC205" s="172">
        <f t="shared" ref="AC205" si="146">IFERROR(((Z205-AE205)/AE205),0)</f>
        <v>0</v>
      </c>
      <c r="AD205" s="171">
        <f>Pasākumu_līmenis!AB143</f>
        <v>1</v>
      </c>
      <c r="AE205" s="171">
        <v>300615.58</v>
      </c>
      <c r="AF205" s="172">
        <v>0.62512857517166232</v>
      </c>
      <c r="AG205" s="171">
        <f>Pasākumu_līmenis!AE143</f>
        <v>300615.58</v>
      </c>
      <c r="AH205" s="172">
        <f t="shared" ref="AH205" si="147">AG205/$H205</f>
        <v>0.62512857517166232</v>
      </c>
      <c r="AI205" s="172">
        <f t="shared" ref="AI205" si="148">AH205-AL205</f>
        <v>0</v>
      </c>
      <c r="AJ205" s="172">
        <f t="shared" ref="AJ205" si="149">IFERROR(((AG205-AK205)/AK205),0)</f>
        <v>0</v>
      </c>
      <c r="AK205" s="171">
        <v>300615.58</v>
      </c>
      <c r="AL205" s="172">
        <v>0.62512857517166232</v>
      </c>
    </row>
    <row r="206" spans="1:38" ht="21" customHeight="1" x14ac:dyDescent="0.3">
      <c r="A206" s="257" t="s">
        <v>236</v>
      </c>
      <c r="B206" s="256" t="str">
        <f>VLOOKUP(A206,saīsinājumi_LV_ENG!A:G,5,FALSE)</f>
        <v>Veselības aprūpes infrastruktūra</v>
      </c>
      <c r="C206" s="12" t="s">
        <v>225</v>
      </c>
      <c r="D206" s="12"/>
      <c r="E206" s="40" t="str">
        <f>Pasākumu_līmenis!D144</f>
        <v>ERAF</v>
      </c>
      <c r="F206" s="40" t="str">
        <f>Pasākumu_līmenis!E144</f>
        <v>VM</v>
      </c>
      <c r="G206" s="279" t="str">
        <f>VLOOKUP(A206,'2. Intervences kategorijas - Pa'!B:D,2,FALSE)</f>
        <v>09 - Veicināt sociālo iekļautību, apkarot nabadzību un jebkādu diskrimināciju</v>
      </c>
      <c r="H206" s="171">
        <f>Pasākumu_līmenis!F144</f>
        <v>220032906</v>
      </c>
      <c r="I206" s="171">
        <f>Pasākumu_līmenis!G144</f>
        <v>12940597</v>
      </c>
      <c r="J206" s="171">
        <f>Pasākumu_līmenis!H144</f>
        <v>232973503</v>
      </c>
      <c r="K206" s="171">
        <f>Pasākumu_līmenis!I144</f>
        <v>9279588</v>
      </c>
      <c r="L206" s="171">
        <f>Pasākumu_līmenis!J144</f>
        <v>197114718.81999999</v>
      </c>
      <c r="M206" s="172">
        <f t="shared" si="117"/>
        <v>0.89584200110505285</v>
      </c>
      <c r="N206" s="172">
        <f t="shared" si="118"/>
        <v>0</v>
      </c>
      <c r="O206" s="172">
        <f t="shared" si="125"/>
        <v>0</v>
      </c>
      <c r="P206" s="171">
        <f>Pasākumu_līmenis!N144</f>
        <v>365</v>
      </c>
      <c r="Q206" s="171">
        <v>197114718.81999999</v>
      </c>
      <c r="R206" s="172">
        <v>0.89584200110505285</v>
      </c>
      <c r="S206" s="171">
        <f>Pasākumu_līmenis!Q144</f>
        <v>197114718.81999999</v>
      </c>
      <c r="T206" s="172">
        <f t="shared" si="119"/>
        <v>0.89584200110505285</v>
      </c>
      <c r="U206" s="172">
        <f t="shared" si="120"/>
        <v>0</v>
      </c>
      <c r="V206" s="172">
        <f t="shared" si="126"/>
        <v>0</v>
      </c>
      <c r="W206" s="171">
        <f>Pasākumu_līmenis!U144</f>
        <v>365</v>
      </c>
      <c r="X206" s="171">
        <v>197114718.81999999</v>
      </c>
      <c r="Y206" s="172">
        <v>0.89584200110505285</v>
      </c>
      <c r="Z206" s="171">
        <f>Pasākumu_līmenis!X144</f>
        <v>197114718.81999999</v>
      </c>
      <c r="AA206" s="172">
        <f t="shared" si="121"/>
        <v>0.89584200110505285</v>
      </c>
      <c r="AB206" s="172">
        <f t="shared" si="122"/>
        <v>0</v>
      </c>
      <c r="AC206" s="172">
        <f t="shared" si="115"/>
        <v>0</v>
      </c>
      <c r="AD206" s="171">
        <f>Pasākumu_līmenis!AB144</f>
        <v>365</v>
      </c>
      <c r="AE206" s="171">
        <v>197114718.81999999</v>
      </c>
      <c r="AF206" s="172">
        <v>0.89584200110505285</v>
      </c>
      <c r="AG206" s="171">
        <f>Pasākumu_līmenis!AE144</f>
        <v>194331229.94999999</v>
      </c>
      <c r="AH206" s="172">
        <f t="shared" si="123"/>
        <v>0.88319167111304697</v>
      </c>
      <c r="AI206" s="172">
        <f t="shared" si="124"/>
        <v>0</v>
      </c>
      <c r="AJ206" s="172">
        <f t="shared" si="116"/>
        <v>0</v>
      </c>
      <c r="AK206" s="171">
        <v>194331229.94999999</v>
      </c>
      <c r="AL206" s="172">
        <v>0.88319167111304697</v>
      </c>
    </row>
    <row r="207" spans="1:38" ht="21" customHeight="1" x14ac:dyDescent="0.3">
      <c r="A207" s="249" t="s">
        <v>141</v>
      </c>
      <c r="B207" s="250" t="str">
        <f>VLOOKUP(A207,saīsinājumi_LV_ENG!A:G,5,FALSE)</f>
        <v>ESF tehniskā palīdzība</v>
      </c>
      <c r="C207" s="10" t="s">
        <v>142</v>
      </c>
      <c r="D207" s="227"/>
      <c r="E207" s="68"/>
      <c r="F207" s="68"/>
      <c r="G207" s="281"/>
      <c r="H207" s="228">
        <f>SUM(H208:H210)</f>
        <v>21420040</v>
      </c>
      <c r="I207" s="228">
        <f t="shared" ref="I207:L207" si="150">SUM(I208:I210)</f>
        <v>0</v>
      </c>
      <c r="J207" s="228">
        <f t="shared" si="150"/>
        <v>21420040</v>
      </c>
      <c r="K207" s="228">
        <f t="shared" si="150"/>
        <v>0</v>
      </c>
      <c r="L207" s="228">
        <f t="shared" si="150"/>
        <v>20958161.16</v>
      </c>
      <c r="M207" s="229">
        <f>L207/$H207</f>
        <v>0.97843706921182216</v>
      </c>
      <c r="N207" s="229">
        <f t="shared" si="118"/>
        <v>0</v>
      </c>
      <c r="O207" s="229">
        <f t="shared" si="125"/>
        <v>0</v>
      </c>
      <c r="P207" s="228">
        <f>SUM(P208:P210)</f>
        <v>44</v>
      </c>
      <c r="Q207" s="228">
        <v>20958161.16</v>
      </c>
      <c r="R207" s="228">
        <v>0.97843706921182216</v>
      </c>
      <c r="S207" s="228">
        <f t="shared" ref="S207" si="151">SUM(S208:S210)</f>
        <v>20958161.16</v>
      </c>
      <c r="T207" s="229">
        <f t="shared" si="119"/>
        <v>0.97843706921182216</v>
      </c>
      <c r="U207" s="229">
        <f t="shared" si="120"/>
        <v>0</v>
      </c>
      <c r="V207" s="229">
        <f t="shared" si="126"/>
        <v>0</v>
      </c>
      <c r="W207" s="228">
        <f>SUM(W208:W210)</f>
        <v>44</v>
      </c>
      <c r="X207" s="228">
        <v>20958161.16</v>
      </c>
      <c r="Y207" s="229">
        <v>0.97843706921182216</v>
      </c>
      <c r="Z207" s="228">
        <f>SUM(Z208:Z210)</f>
        <v>20958161.16</v>
      </c>
      <c r="AA207" s="229">
        <f t="shared" si="121"/>
        <v>0.97843706921182216</v>
      </c>
      <c r="AB207" s="229">
        <f t="shared" si="122"/>
        <v>0</v>
      </c>
      <c r="AC207" s="229">
        <f t="shared" si="115"/>
        <v>0</v>
      </c>
      <c r="AD207" s="228">
        <f>SUM(AD208:AD210)</f>
        <v>44</v>
      </c>
      <c r="AE207" s="177">
        <v>20958161.16</v>
      </c>
      <c r="AF207" s="178">
        <v>0.97843706921182216</v>
      </c>
      <c r="AG207" s="228">
        <f>SUM(AG208:AG210)</f>
        <v>20958105.09</v>
      </c>
      <c r="AH207" s="229">
        <f t="shared" si="123"/>
        <v>0.97843445156965159</v>
      </c>
      <c r="AI207" s="229">
        <f t="shared" si="124"/>
        <v>0</v>
      </c>
      <c r="AJ207" s="229">
        <f t="shared" si="116"/>
        <v>0</v>
      </c>
      <c r="AK207" s="228">
        <v>20958105.09</v>
      </c>
      <c r="AL207" s="229">
        <v>0.97843445156965159</v>
      </c>
    </row>
    <row r="208" spans="1:38" ht="39.75" customHeight="1" x14ac:dyDescent="0.3">
      <c r="A208" s="255" t="s">
        <v>359</v>
      </c>
      <c r="B208" s="256" t="str">
        <f>VLOOKUP(A208,saīsinājumi_LV_ENG!A:G,5,FALSE)</f>
        <v>TP KP fondu izvērtēšanas kapacitātei</v>
      </c>
      <c r="C208" s="12" t="s">
        <v>360</v>
      </c>
      <c r="D208" s="12"/>
      <c r="E208" s="44" t="str">
        <f>Pasākumu_līmenis!D146</f>
        <v>ESF</v>
      </c>
      <c r="F208" s="44" t="str">
        <f>Pasākumu_līmenis!E146</f>
        <v>FM</v>
      </c>
      <c r="G208" s="276" t="str">
        <f>VLOOKUP(A208,'2. Intervences kategorijas - Pa'!B:D,2,FALSE)</f>
        <v>12 - Nepiemēro (tikai tehniska palīdzība)</v>
      </c>
      <c r="H208" s="173">
        <f>Pasākumu_līmenis!F146</f>
        <v>2106322</v>
      </c>
      <c r="I208" s="173">
        <f>Pasākumu_līmenis!G146</f>
        <v>0</v>
      </c>
      <c r="J208" s="173">
        <f>Pasākumu_līmenis!H146</f>
        <v>2106322</v>
      </c>
      <c r="K208" s="173">
        <f>Pasākumu_līmenis!I146</f>
        <v>0</v>
      </c>
      <c r="L208" s="173">
        <f>Pasākumu_līmenis!J146</f>
        <v>2002863.57</v>
      </c>
      <c r="M208" s="174">
        <f t="shared" si="117"/>
        <v>0.95088194967341177</v>
      </c>
      <c r="N208" s="174">
        <f t="shared" si="118"/>
        <v>0</v>
      </c>
      <c r="O208" s="174">
        <f t="shared" si="125"/>
        <v>0</v>
      </c>
      <c r="P208" s="173">
        <f>Pasākumu_līmenis!N146</f>
        <v>2</v>
      </c>
      <c r="Q208" s="173">
        <v>2002863.57</v>
      </c>
      <c r="R208" s="174">
        <v>0.95088194967341177</v>
      </c>
      <c r="S208" s="173">
        <f>Pasākumu_līmenis!Q146</f>
        <v>2002863.57</v>
      </c>
      <c r="T208" s="174">
        <f t="shared" si="119"/>
        <v>0.95088194967341177</v>
      </c>
      <c r="U208" s="174">
        <f t="shared" si="120"/>
        <v>0</v>
      </c>
      <c r="V208" s="174">
        <f t="shared" si="126"/>
        <v>0</v>
      </c>
      <c r="W208" s="173">
        <f>Pasākumu_līmenis!U146</f>
        <v>2</v>
      </c>
      <c r="X208" s="173">
        <v>2002863.57</v>
      </c>
      <c r="Y208" s="174">
        <v>0.95088194967341177</v>
      </c>
      <c r="Z208" s="173">
        <f>Pasākumu_līmenis!X146</f>
        <v>2002863.57</v>
      </c>
      <c r="AA208" s="174">
        <f t="shared" si="121"/>
        <v>0.95088194967341177</v>
      </c>
      <c r="AB208" s="174">
        <f t="shared" si="122"/>
        <v>0</v>
      </c>
      <c r="AC208" s="174">
        <f t="shared" si="115"/>
        <v>0</v>
      </c>
      <c r="AD208" s="173">
        <f>Pasākumu_līmenis!AB146</f>
        <v>2</v>
      </c>
      <c r="AE208" s="173">
        <v>2002863.57</v>
      </c>
      <c r="AF208" s="174">
        <v>0.95088194967341177</v>
      </c>
      <c r="AG208" s="173">
        <f>Pasākumu_līmenis!AE146</f>
        <v>2002863.57</v>
      </c>
      <c r="AH208" s="174">
        <f t="shared" si="123"/>
        <v>0.95088194967341177</v>
      </c>
      <c r="AI208" s="174">
        <f t="shared" si="124"/>
        <v>0</v>
      </c>
      <c r="AJ208" s="174">
        <f t="shared" si="116"/>
        <v>0</v>
      </c>
      <c r="AK208" s="173">
        <v>2002863.57</v>
      </c>
      <c r="AL208" s="174">
        <v>0.95088194967341177</v>
      </c>
    </row>
    <row r="209" spans="1:38" ht="33.75" customHeight="1" x14ac:dyDescent="0.3">
      <c r="A209" s="255" t="s">
        <v>235</v>
      </c>
      <c r="B209" s="256" t="str">
        <f>VLOOKUP(A209,saīsinājumi_LV_ENG!A:G,5,FALSE)</f>
        <v>TP informācijai un komunikācijai</v>
      </c>
      <c r="C209" s="12" t="s">
        <v>143</v>
      </c>
      <c r="D209" s="12"/>
      <c r="E209" s="44" t="str">
        <f>Pasākumu_līmenis!D147</f>
        <v>ESF</v>
      </c>
      <c r="F209" s="44" t="str">
        <f>Pasākumu_līmenis!E147</f>
        <v>FM</v>
      </c>
      <c r="G209" s="276" t="str">
        <f>VLOOKUP(A209,'2. Intervences kategorijas - Pa'!B:D,2,FALSE)</f>
        <v>12 - Nepiemēro (tikai tehniska palīdzība)</v>
      </c>
      <c r="H209" s="173">
        <f>Pasākumu_līmenis!F147</f>
        <v>7101751</v>
      </c>
      <c r="I209" s="173">
        <f>Pasākumu_līmenis!G147</f>
        <v>0</v>
      </c>
      <c r="J209" s="173">
        <f>Pasākumu_līmenis!H147</f>
        <v>7101751</v>
      </c>
      <c r="K209" s="173">
        <f>Pasākumu_līmenis!I147</f>
        <v>0</v>
      </c>
      <c r="L209" s="173">
        <f>Pasākumu_līmenis!J147</f>
        <v>6892432.8200000003</v>
      </c>
      <c r="M209" s="174">
        <f t="shared" si="117"/>
        <v>0.9705258351074264</v>
      </c>
      <c r="N209" s="174">
        <f t="shared" si="118"/>
        <v>0</v>
      </c>
      <c r="O209" s="174">
        <f t="shared" si="125"/>
        <v>0</v>
      </c>
      <c r="P209" s="173">
        <f>Pasākumu_līmenis!N147</f>
        <v>22</v>
      </c>
      <c r="Q209" s="173">
        <v>6892432.8200000003</v>
      </c>
      <c r="R209" s="174">
        <v>0.9705258351074264</v>
      </c>
      <c r="S209" s="173">
        <f>Pasākumu_līmenis!Q147</f>
        <v>6892432.8200000003</v>
      </c>
      <c r="T209" s="174">
        <f t="shared" si="119"/>
        <v>0.9705258351074264</v>
      </c>
      <c r="U209" s="174">
        <f t="shared" si="120"/>
        <v>0</v>
      </c>
      <c r="V209" s="174">
        <f t="shared" si="126"/>
        <v>0</v>
      </c>
      <c r="W209" s="173">
        <f>Pasākumu_līmenis!U147</f>
        <v>22</v>
      </c>
      <c r="X209" s="173">
        <v>6892432.8200000003</v>
      </c>
      <c r="Y209" s="174">
        <v>0.9705258351074264</v>
      </c>
      <c r="Z209" s="173">
        <f>Pasākumu_līmenis!X147</f>
        <v>6892432.8200000003</v>
      </c>
      <c r="AA209" s="174">
        <f t="shared" si="121"/>
        <v>0.9705258351074264</v>
      </c>
      <c r="AB209" s="174">
        <f t="shared" si="122"/>
        <v>0</v>
      </c>
      <c r="AC209" s="174">
        <f t="shared" si="115"/>
        <v>0</v>
      </c>
      <c r="AD209" s="173">
        <f>Pasākumu_līmenis!AB147</f>
        <v>22</v>
      </c>
      <c r="AE209" s="173">
        <v>6892432.8200000003</v>
      </c>
      <c r="AF209" s="174">
        <v>0.9705258351074264</v>
      </c>
      <c r="AG209" s="173">
        <f>Pasākumu_līmenis!AE147</f>
        <v>6892376.75</v>
      </c>
      <c r="AH209" s="174">
        <f t="shared" si="123"/>
        <v>0.97051793987144863</v>
      </c>
      <c r="AI209" s="174">
        <f t="shared" si="124"/>
        <v>0</v>
      </c>
      <c r="AJ209" s="174">
        <f t="shared" si="116"/>
        <v>0</v>
      </c>
      <c r="AK209" s="173">
        <v>6892376.75</v>
      </c>
      <c r="AL209" s="174">
        <v>0.97051793987144863</v>
      </c>
    </row>
    <row r="210" spans="1:38" ht="108" customHeight="1" x14ac:dyDescent="0.3">
      <c r="A210" s="255" t="s">
        <v>1250</v>
      </c>
      <c r="B210" s="256" t="s">
        <v>1253</v>
      </c>
      <c r="C210" s="12"/>
      <c r="D210" s="12"/>
      <c r="E210" s="44" t="str">
        <f>Pasākumu_līmenis!D148</f>
        <v>ESF</v>
      </c>
      <c r="F210" s="44" t="str">
        <f>Pasākumu_līmenis!E148</f>
        <v>FM</v>
      </c>
      <c r="G210" s="276" t="str">
        <f>VLOOKUP(A210,'2. Intervences kategorijas - Pa'!B:D,2,FALSE)</f>
        <v>12 - Nepiemēro (tikai tehniska palīdzība)</v>
      </c>
      <c r="H210" s="173">
        <f>Pasākumu_līmenis!F148</f>
        <v>12211967</v>
      </c>
      <c r="I210" s="173">
        <f>Pasākumu_līmenis!G148</f>
        <v>0</v>
      </c>
      <c r="J210" s="173">
        <f>Pasākumu_līmenis!H148</f>
        <v>12211967</v>
      </c>
      <c r="K210" s="173">
        <f>Pasākumu_līmenis!I148</f>
        <v>0</v>
      </c>
      <c r="L210" s="173">
        <f>Pasākumu_līmenis!J148</f>
        <v>12062864.77</v>
      </c>
      <c r="M210" s="174">
        <f t="shared" ref="M210" si="152">L210/$H210</f>
        <v>0.98779048207385423</v>
      </c>
      <c r="N210" s="174">
        <f t="shared" ref="N210" si="153">M210-R210</f>
        <v>0</v>
      </c>
      <c r="O210" s="174">
        <f t="shared" ref="O210" si="154">IFERROR(((L210-Q210)/Q210),0)</f>
        <v>0</v>
      </c>
      <c r="P210" s="173">
        <f>Pasākumu_līmenis!N148</f>
        <v>20</v>
      </c>
      <c r="Q210" s="173">
        <v>12062864.77</v>
      </c>
      <c r="R210" s="174">
        <v>0.98779048207385423</v>
      </c>
      <c r="S210" s="173">
        <f>Pasākumu_līmenis!Q148</f>
        <v>12062864.77</v>
      </c>
      <c r="T210" s="174">
        <f t="shared" ref="T210" si="155">S210/$H210</f>
        <v>0.98779048207385423</v>
      </c>
      <c r="U210" s="174">
        <f t="shared" ref="U210" si="156">T210-Y210</f>
        <v>0</v>
      </c>
      <c r="V210" s="174">
        <f t="shared" ref="V210" si="157">IFERROR(((S210-X210)/X210),0)</f>
        <v>0</v>
      </c>
      <c r="W210" s="173">
        <f>Pasākumu_līmenis!U148</f>
        <v>20</v>
      </c>
      <c r="X210" s="173">
        <v>12062864.77</v>
      </c>
      <c r="Y210" s="174">
        <v>0.98779048207385423</v>
      </c>
      <c r="Z210" s="173">
        <f>Pasākumu_līmenis!X148</f>
        <v>12062864.77</v>
      </c>
      <c r="AA210" s="174">
        <f t="shared" ref="AA210" si="158">Z210/$H210</f>
        <v>0.98779048207385423</v>
      </c>
      <c r="AB210" s="174">
        <f t="shared" ref="AB210" si="159">AA210-AF210</f>
        <v>0</v>
      </c>
      <c r="AC210" s="174">
        <f t="shared" ref="AC210" si="160">IFERROR(((Z210-AE210)/AE210),0)</f>
        <v>0</v>
      </c>
      <c r="AD210" s="173">
        <f>Pasākumu_līmenis!AB148</f>
        <v>20</v>
      </c>
      <c r="AE210" s="173">
        <v>12062864.77</v>
      </c>
      <c r="AF210" s="174">
        <v>0.98779048207385423</v>
      </c>
      <c r="AG210" s="173">
        <f>Pasākumu_līmenis!AE148</f>
        <v>12062864.77</v>
      </c>
      <c r="AH210" s="174">
        <f>AG210/$H210</f>
        <v>0.98779048207385423</v>
      </c>
      <c r="AI210" s="174">
        <f t="shared" ref="AI210" si="161">AH210-AL210</f>
        <v>0</v>
      </c>
      <c r="AJ210" s="174">
        <f t="shared" ref="AJ210" si="162">IFERROR(((AG210-AK210)/AK210),0)</f>
        <v>0</v>
      </c>
      <c r="AK210" s="173">
        <v>12062864.77</v>
      </c>
      <c r="AL210" s="174">
        <v>0.98779048207385423</v>
      </c>
    </row>
    <row r="211" spans="1:38" ht="21" customHeight="1" x14ac:dyDescent="0.3">
      <c r="A211" s="249" t="s">
        <v>144</v>
      </c>
      <c r="B211" s="250" t="str">
        <f>VLOOKUP(A211,saīsinājumi_LV_ENG!A:G,5,FALSE)</f>
        <v>ERAF tehniskā palīdzība</v>
      </c>
      <c r="C211" s="10" t="s">
        <v>146</v>
      </c>
      <c r="D211" s="227"/>
      <c r="E211" s="68"/>
      <c r="F211" s="68"/>
      <c r="G211" s="281"/>
      <c r="H211" s="228">
        <f>H212</f>
        <v>39180553</v>
      </c>
      <c r="I211" s="228">
        <f>I212</f>
        <v>0</v>
      </c>
      <c r="J211" s="228">
        <f>J212</f>
        <v>39180553</v>
      </c>
      <c r="K211" s="228">
        <f>K212</f>
        <v>0</v>
      </c>
      <c r="L211" s="228">
        <f>L212</f>
        <v>39151081.200000003</v>
      </c>
      <c r="M211" s="229">
        <f t="shared" si="117"/>
        <v>0.99924779520084883</v>
      </c>
      <c r="N211" s="229">
        <f t="shared" si="118"/>
        <v>0</v>
      </c>
      <c r="O211" s="229">
        <f t="shared" si="125"/>
        <v>0</v>
      </c>
      <c r="P211" s="228">
        <f>P212</f>
        <v>31</v>
      </c>
      <c r="Q211" s="177">
        <v>39151081.200000003</v>
      </c>
      <c r="R211" s="178">
        <v>0.99924779520084883</v>
      </c>
      <c r="S211" s="228">
        <f>S212</f>
        <v>39151081.200000003</v>
      </c>
      <c r="T211" s="229">
        <f t="shared" si="119"/>
        <v>0.99924779520084883</v>
      </c>
      <c r="U211" s="229">
        <f t="shared" si="120"/>
        <v>0</v>
      </c>
      <c r="V211" s="229">
        <f t="shared" si="126"/>
        <v>0</v>
      </c>
      <c r="W211" s="228">
        <f>W212</f>
        <v>31</v>
      </c>
      <c r="X211" s="228">
        <v>39151081.200000003</v>
      </c>
      <c r="Y211" s="229">
        <v>0.99924779520084883</v>
      </c>
      <c r="Z211" s="228">
        <f>Z212</f>
        <v>39151081.200000003</v>
      </c>
      <c r="AA211" s="229">
        <f t="shared" si="121"/>
        <v>0.99924779520084883</v>
      </c>
      <c r="AB211" s="229">
        <f t="shared" si="122"/>
        <v>0</v>
      </c>
      <c r="AC211" s="229">
        <f t="shared" si="115"/>
        <v>0</v>
      </c>
      <c r="AD211" s="228">
        <f>AD212</f>
        <v>31</v>
      </c>
      <c r="AE211" s="177">
        <v>39151081.200000003</v>
      </c>
      <c r="AF211" s="178">
        <v>0.99924779520084883</v>
      </c>
      <c r="AG211" s="228">
        <f>AG212</f>
        <v>39150971.990000002</v>
      </c>
      <c r="AH211" s="229">
        <f t="shared" si="123"/>
        <v>0.99924500784866421</v>
      </c>
      <c r="AI211" s="229">
        <f t="shared" si="124"/>
        <v>0</v>
      </c>
      <c r="AJ211" s="229">
        <f t="shared" si="116"/>
        <v>0</v>
      </c>
      <c r="AK211" s="228">
        <v>39150971.990000002</v>
      </c>
      <c r="AL211" s="229">
        <v>0.99924500784866421</v>
      </c>
    </row>
    <row r="212" spans="1:38" ht="59.25" customHeight="1" x14ac:dyDescent="0.3">
      <c r="A212" s="265" t="s">
        <v>234</v>
      </c>
      <c r="B212" s="256" t="str">
        <f>VLOOKUP(A212,saīsinājumi_LV_ENG!A:G,5,FALSE)</f>
        <v>TP KP fondu plānošanai, ieviešanai, uzraudzībai un kontrolei</v>
      </c>
      <c r="C212" s="12" t="s">
        <v>148</v>
      </c>
      <c r="D212" s="12"/>
      <c r="E212" s="40" t="str">
        <f>Pasākumu_līmenis!D150</f>
        <v>ERAF</v>
      </c>
      <c r="F212" s="40" t="str">
        <f>Pasākumu_līmenis!E150</f>
        <v>FM</v>
      </c>
      <c r="G212" s="279" t="str">
        <f>VLOOKUP(A212,'2. Intervences kategorijas - Pa'!B:D,2,FALSE)</f>
        <v>12 - Nepiemēro (tikai tehniska palīdzība)</v>
      </c>
      <c r="H212" s="171">
        <f>Pasākumu_līmenis!F150</f>
        <v>39180553</v>
      </c>
      <c r="I212" s="171">
        <f>Pasākumu_līmenis!G150</f>
        <v>0</v>
      </c>
      <c r="J212" s="171">
        <f>Pasākumu_līmenis!H150</f>
        <v>39180553</v>
      </c>
      <c r="K212" s="171">
        <f>Pasākumu_līmenis!I150</f>
        <v>0</v>
      </c>
      <c r="L212" s="171">
        <f>Pasākumu_līmenis!J150</f>
        <v>39151081.200000003</v>
      </c>
      <c r="M212" s="172">
        <f t="shared" si="117"/>
        <v>0.99924779520084883</v>
      </c>
      <c r="N212" s="172">
        <f t="shared" si="118"/>
        <v>0</v>
      </c>
      <c r="O212" s="172">
        <f t="shared" si="125"/>
        <v>0</v>
      </c>
      <c r="P212" s="171">
        <f>Pasākumu_līmenis!N150</f>
        <v>31</v>
      </c>
      <c r="Q212" s="171">
        <v>39151081.200000003</v>
      </c>
      <c r="R212" s="172">
        <v>0.99924779520084883</v>
      </c>
      <c r="S212" s="171">
        <f>Pasākumu_līmenis!Q150</f>
        <v>39151081.200000003</v>
      </c>
      <c r="T212" s="172">
        <f t="shared" si="119"/>
        <v>0.99924779520084883</v>
      </c>
      <c r="U212" s="172">
        <f t="shared" si="120"/>
        <v>0</v>
      </c>
      <c r="V212" s="172">
        <f t="shared" si="126"/>
        <v>0</v>
      </c>
      <c r="W212" s="171">
        <f>Pasākumu_līmenis!U150</f>
        <v>31</v>
      </c>
      <c r="X212" s="171">
        <v>39151081.200000003</v>
      </c>
      <c r="Y212" s="172">
        <v>0.99924779520084883</v>
      </c>
      <c r="Z212" s="171">
        <f>Pasākumu_līmenis!X150</f>
        <v>39151081.200000003</v>
      </c>
      <c r="AA212" s="172">
        <f t="shared" si="121"/>
        <v>0.99924779520084883</v>
      </c>
      <c r="AB212" s="172">
        <f t="shared" si="122"/>
        <v>0</v>
      </c>
      <c r="AC212" s="172">
        <f t="shared" si="115"/>
        <v>0</v>
      </c>
      <c r="AD212" s="171">
        <f>Pasākumu_līmenis!AB150</f>
        <v>31</v>
      </c>
      <c r="AE212" s="171">
        <v>39151081.200000003</v>
      </c>
      <c r="AF212" s="172">
        <v>0.99924779520084883</v>
      </c>
      <c r="AG212" s="171">
        <f>Pasākumu_līmenis!AE150</f>
        <v>39150971.990000002</v>
      </c>
      <c r="AH212" s="172">
        <f t="shared" si="123"/>
        <v>0.99924500784866421</v>
      </c>
      <c r="AI212" s="172">
        <f t="shared" si="124"/>
        <v>0</v>
      </c>
      <c r="AJ212" s="172">
        <f t="shared" si="116"/>
        <v>0</v>
      </c>
      <c r="AK212" s="171">
        <v>39150971.990000002</v>
      </c>
      <c r="AL212" s="172">
        <v>0.99924500784866421</v>
      </c>
    </row>
    <row r="213" spans="1:38" ht="21" customHeight="1" x14ac:dyDescent="0.3">
      <c r="A213" s="249" t="s">
        <v>145</v>
      </c>
      <c r="B213" s="250" t="str">
        <f>VLOOKUP(A213,saīsinājumi_LV_ENG!A:G,5,FALSE)</f>
        <v>KF tehniskā palīdzība</v>
      </c>
      <c r="C213" s="10" t="s">
        <v>147</v>
      </c>
      <c r="D213" s="227"/>
      <c r="E213" s="68"/>
      <c r="F213" s="68"/>
      <c r="G213" s="281"/>
      <c r="H213" s="228">
        <f>H214</f>
        <v>40715710</v>
      </c>
      <c r="I213" s="228">
        <f>I214</f>
        <v>0</v>
      </c>
      <c r="J213" s="228">
        <f>J214</f>
        <v>40715710</v>
      </c>
      <c r="K213" s="228">
        <f>K214</f>
        <v>0</v>
      </c>
      <c r="L213" s="228">
        <f>L214</f>
        <v>40697163.219999999</v>
      </c>
      <c r="M213" s="229">
        <f t="shared" si="117"/>
        <v>0.99954448098780546</v>
      </c>
      <c r="N213" s="229">
        <f t="shared" si="118"/>
        <v>0</v>
      </c>
      <c r="O213" s="229">
        <f t="shared" si="125"/>
        <v>0</v>
      </c>
      <c r="P213" s="228">
        <f>P214</f>
        <v>7</v>
      </c>
      <c r="Q213" s="177">
        <v>40697163.219999999</v>
      </c>
      <c r="R213" s="178">
        <v>0.99954448098780546</v>
      </c>
      <c r="S213" s="228">
        <f>S214</f>
        <v>40697163.219999999</v>
      </c>
      <c r="T213" s="229">
        <f t="shared" si="119"/>
        <v>0.99954448098780546</v>
      </c>
      <c r="U213" s="229">
        <f t="shared" si="120"/>
        <v>0</v>
      </c>
      <c r="V213" s="229">
        <f t="shared" si="126"/>
        <v>0</v>
      </c>
      <c r="W213" s="228">
        <f>W214</f>
        <v>7</v>
      </c>
      <c r="X213" s="228">
        <v>40697163.219999999</v>
      </c>
      <c r="Y213" s="229">
        <v>0.99954448098780546</v>
      </c>
      <c r="Z213" s="228">
        <f>Z214</f>
        <v>40697163.219999999</v>
      </c>
      <c r="AA213" s="229">
        <f t="shared" si="121"/>
        <v>0.99954448098780546</v>
      </c>
      <c r="AB213" s="229">
        <f t="shared" si="122"/>
        <v>0</v>
      </c>
      <c r="AC213" s="229">
        <f t="shared" si="115"/>
        <v>0</v>
      </c>
      <c r="AD213" s="228">
        <f>AD214</f>
        <v>7</v>
      </c>
      <c r="AE213" s="177">
        <v>40697163.219999999</v>
      </c>
      <c r="AF213" s="178">
        <v>0.99954448098780546</v>
      </c>
      <c r="AG213" s="228">
        <f>AG214</f>
        <v>40697163.219999999</v>
      </c>
      <c r="AH213" s="229">
        <f t="shared" si="123"/>
        <v>0.99954448098780546</v>
      </c>
      <c r="AI213" s="229">
        <f t="shared" si="124"/>
        <v>0</v>
      </c>
      <c r="AJ213" s="229">
        <f t="shared" si="116"/>
        <v>0</v>
      </c>
      <c r="AK213" s="228">
        <v>40697163.219999999</v>
      </c>
      <c r="AL213" s="229">
        <v>0.99954448098780546</v>
      </c>
    </row>
    <row r="214" spans="1:38" ht="59.25" customHeight="1" x14ac:dyDescent="0.3">
      <c r="A214" s="265" t="s">
        <v>233</v>
      </c>
      <c r="B214" s="256" t="str">
        <f>VLOOKUP(A214,saīsinājumi_LV_ENG!A:G,5,FALSE)</f>
        <v>TP KP fondu plānošanai, ieviešanai, uzraudzībai, kontrolei, revīzijai un e-kohēzijai</v>
      </c>
      <c r="C214" s="12" t="s">
        <v>149</v>
      </c>
      <c r="D214" s="12"/>
      <c r="E214" s="40" t="str">
        <f>Pasākumu_līmenis!D152</f>
        <v>KF</v>
      </c>
      <c r="F214" s="40" t="str">
        <f>Pasākumu_līmenis!E152</f>
        <v>FM</v>
      </c>
      <c r="G214" s="279" t="str">
        <f>VLOOKUP(A214,'2. Intervences kategorijas - Pa'!B:D,2,FALSE)</f>
        <v>12 - Nepiemēro (tikai tehniska palīdzība)</v>
      </c>
      <c r="H214" s="171">
        <f>Pasākumu_līmenis!F152</f>
        <v>40715710</v>
      </c>
      <c r="I214" s="171">
        <f>Pasākumu_līmenis!G152</f>
        <v>0</v>
      </c>
      <c r="J214" s="171">
        <f>Pasākumu_līmenis!H152</f>
        <v>40715710</v>
      </c>
      <c r="K214" s="171">
        <f>Pasākumu_līmenis!I152</f>
        <v>0</v>
      </c>
      <c r="L214" s="171">
        <f>Pasākumu_līmenis!J152</f>
        <v>40697163.219999999</v>
      </c>
      <c r="M214" s="172">
        <f t="shared" si="117"/>
        <v>0.99954448098780546</v>
      </c>
      <c r="N214" s="172">
        <f t="shared" si="118"/>
        <v>0</v>
      </c>
      <c r="O214" s="172">
        <f t="shared" si="125"/>
        <v>0</v>
      </c>
      <c r="P214" s="171">
        <f>Pasākumu_līmenis!N152</f>
        <v>7</v>
      </c>
      <c r="Q214" s="171">
        <v>40697163.219999999</v>
      </c>
      <c r="R214" s="172">
        <v>0.99954448098780546</v>
      </c>
      <c r="S214" s="171">
        <f>Pasākumu_līmenis!Q152</f>
        <v>40697163.219999999</v>
      </c>
      <c r="T214" s="172">
        <f t="shared" si="119"/>
        <v>0.99954448098780546</v>
      </c>
      <c r="U214" s="172">
        <f t="shared" si="120"/>
        <v>0</v>
      </c>
      <c r="V214" s="172">
        <f t="shared" si="126"/>
        <v>0</v>
      </c>
      <c r="W214" s="171">
        <f>Pasākumu_līmenis!U152</f>
        <v>7</v>
      </c>
      <c r="X214" s="171">
        <v>40697163.219999999</v>
      </c>
      <c r="Y214" s="172">
        <v>0.99954448098780546</v>
      </c>
      <c r="Z214" s="171">
        <f>Pasākumu_līmenis!X152</f>
        <v>40697163.219999999</v>
      </c>
      <c r="AA214" s="172">
        <f t="shared" si="121"/>
        <v>0.99954448098780546</v>
      </c>
      <c r="AB214" s="172">
        <f t="shared" si="122"/>
        <v>0</v>
      </c>
      <c r="AC214" s="172">
        <f>IFERROR(((Z214-AE214)/AE214),0)</f>
        <v>0</v>
      </c>
      <c r="AD214" s="171">
        <f>Pasākumu_līmenis!AB152</f>
        <v>7</v>
      </c>
      <c r="AE214" s="171">
        <v>40697163.219999999</v>
      </c>
      <c r="AF214" s="172">
        <v>0.99954448098780546</v>
      </c>
      <c r="AG214" s="171">
        <f>Pasākumu_līmenis!AE152</f>
        <v>40697163.219999999</v>
      </c>
      <c r="AH214" s="172">
        <f t="shared" si="123"/>
        <v>0.99954448098780546</v>
      </c>
      <c r="AI214" s="172">
        <f t="shared" si="124"/>
        <v>0</v>
      </c>
      <c r="AJ214" s="172">
        <f t="shared" si="116"/>
        <v>0</v>
      </c>
      <c r="AK214" s="171">
        <v>40697163.219999999</v>
      </c>
      <c r="AL214" s="172">
        <v>0.99954448098780546</v>
      </c>
    </row>
    <row r="215" spans="1:38" ht="56.25" x14ac:dyDescent="0.3">
      <c r="A215" s="249" t="s">
        <v>1376</v>
      </c>
      <c r="B215" s="250" t="str">
        <f>VLOOKUP(A215,saīsinājumi_LV_ENG!A:G,5,FALSE)</f>
        <v>Pasākumi Covid-19 pandēmijas seku mazināšanai (ERAF)</v>
      </c>
      <c r="C215" s="10"/>
      <c r="D215" s="227"/>
      <c r="E215" s="68"/>
      <c r="F215" s="68"/>
      <c r="G215" s="281"/>
      <c r="H215" s="228">
        <f>SUM(H216:H227)</f>
        <v>197923434</v>
      </c>
      <c r="I215" s="228">
        <f>SUM(I216:I227)</f>
        <v>1</v>
      </c>
      <c r="J215" s="228">
        <f>SUM(J216:J227)</f>
        <v>197923435</v>
      </c>
      <c r="K215" s="228">
        <f>SUM(K223:K224)</f>
        <v>0</v>
      </c>
      <c r="L215" s="228">
        <f>SUM(L216:L227)</f>
        <v>172648849.45000002</v>
      </c>
      <c r="M215" s="229">
        <f t="shared" si="117"/>
        <v>0.87230120234272013</v>
      </c>
      <c r="N215" s="229">
        <f>M215-R215</f>
        <v>0</v>
      </c>
      <c r="O215" s="229">
        <f t="shared" si="125"/>
        <v>0</v>
      </c>
      <c r="P215" s="228">
        <f>SUM(P216:P227)</f>
        <v>126</v>
      </c>
      <c r="Q215" s="177">
        <v>172648849.45000002</v>
      </c>
      <c r="R215" s="178">
        <v>0.87230120234272013</v>
      </c>
      <c r="S215" s="228">
        <f>SUM(S216:S227)</f>
        <v>172648849.45000002</v>
      </c>
      <c r="T215" s="229">
        <f t="shared" si="119"/>
        <v>0.87230120234272013</v>
      </c>
      <c r="U215" s="229">
        <f t="shared" si="120"/>
        <v>0</v>
      </c>
      <c r="V215" s="229">
        <f t="shared" si="126"/>
        <v>0</v>
      </c>
      <c r="W215" s="228">
        <f>SUM(W216:W227)</f>
        <v>126</v>
      </c>
      <c r="X215" s="228">
        <v>172648849.45000002</v>
      </c>
      <c r="Y215" s="229">
        <v>0.87230120234272013</v>
      </c>
      <c r="Z215" s="228">
        <f>SUM(Z216:Z227)</f>
        <v>172648849.45000002</v>
      </c>
      <c r="AA215" s="229">
        <f t="shared" si="121"/>
        <v>0.87230120234272013</v>
      </c>
      <c r="AB215" s="229">
        <f t="shared" si="122"/>
        <v>0</v>
      </c>
      <c r="AC215" s="229">
        <f t="shared" ref="AC215:AC217" si="163">IFERROR(((Z215-AE215)/AE215),0)</f>
        <v>0</v>
      </c>
      <c r="AD215" s="228">
        <f>SUM(AD216:AD227)</f>
        <v>126</v>
      </c>
      <c r="AE215" s="177">
        <v>172648849.45000002</v>
      </c>
      <c r="AF215" s="178">
        <v>0.87230120234272013</v>
      </c>
      <c r="AG215" s="228">
        <f>SUM(AG216:AG227)</f>
        <v>170369875.22000003</v>
      </c>
      <c r="AH215" s="229">
        <f t="shared" si="123"/>
        <v>0.86078677889147792</v>
      </c>
      <c r="AI215" s="229">
        <f t="shared" si="124"/>
        <v>0</v>
      </c>
      <c r="AJ215" s="229">
        <f t="shared" ref="AJ215:AJ217" si="164">IFERROR(((AG215-AK215)/AK215),0)</f>
        <v>0</v>
      </c>
      <c r="AK215" s="228">
        <v>170369875.22000003</v>
      </c>
      <c r="AL215" s="229">
        <v>0.86078677889147792</v>
      </c>
    </row>
    <row r="216" spans="1:38" ht="56.25" x14ac:dyDescent="0.3">
      <c r="A216" s="265" t="s">
        <v>1385</v>
      </c>
      <c r="B216" s="256" t="str">
        <f>VLOOKUP(A216,saīsinājumi_LV_ENG!A:G,5,FALSE)</f>
        <v>Aizdevumi MVK</v>
      </c>
      <c r="C216" s="12"/>
      <c r="D216" s="12"/>
      <c r="E216" s="44" t="str">
        <f>Pasākumu_līmenis!D154</f>
        <v>ReactEU ERAF</v>
      </c>
      <c r="F216" s="44" t="str">
        <f>Pasākumu_līmenis!E154</f>
        <v>EM</v>
      </c>
      <c r="G216" s="279"/>
      <c r="H216" s="171">
        <f>Pasākumu_līmenis!F154</f>
        <v>21059282</v>
      </c>
      <c r="I216" s="171">
        <f>Pasākumu_līmenis!G154</f>
        <v>0</v>
      </c>
      <c r="J216" s="171">
        <f>Pasākumu_līmenis!H154</f>
        <v>21059282</v>
      </c>
      <c r="K216" s="171">
        <f>Pasākumu_līmenis!I154</f>
        <v>0</v>
      </c>
      <c r="L216" s="171">
        <f>Pasākumu_līmenis!J154</f>
        <v>21059281.16</v>
      </c>
      <c r="M216" s="172">
        <f t="shared" ref="M216" si="165">L216/$H216</f>
        <v>0.99999996011260028</v>
      </c>
      <c r="N216" s="172">
        <f>M216-R216</f>
        <v>0</v>
      </c>
      <c r="O216" s="172">
        <f t="shared" ref="O216" si="166">IFERROR(((L216-Q216)/Q216),0)</f>
        <v>0</v>
      </c>
      <c r="P216" s="171">
        <f>Pasākumu_līmenis!N154</f>
        <v>0</v>
      </c>
      <c r="Q216" s="171">
        <v>21059281.16</v>
      </c>
      <c r="R216" s="172">
        <v>0.99999996011260028</v>
      </c>
      <c r="S216" s="171">
        <f>Pasākumu_līmenis!Q154</f>
        <v>21059281.16</v>
      </c>
      <c r="T216" s="172">
        <f t="shared" ref="T216" si="167">S216/$H216</f>
        <v>0.99999996011260028</v>
      </c>
      <c r="U216" s="172">
        <f t="shared" ref="U216" si="168">T216-Y216</f>
        <v>0</v>
      </c>
      <c r="V216" s="172">
        <f t="shared" ref="V216" si="169">IFERROR(((S216-X216)/X216),0)</f>
        <v>0</v>
      </c>
      <c r="W216" s="171">
        <f>Pasākumu_līmenis!U154</f>
        <v>0</v>
      </c>
      <c r="X216" s="171">
        <v>21059281.16</v>
      </c>
      <c r="Y216" s="172">
        <v>0.99999996011260028</v>
      </c>
      <c r="Z216" s="171">
        <f>Pasākumu_līmenis!X154</f>
        <v>21059281.16</v>
      </c>
      <c r="AA216" s="172">
        <f t="shared" ref="AA216" si="170">Z216/$H216</f>
        <v>0.99999996011260028</v>
      </c>
      <c r="AB216" s="172">
        <f t="shared" ref="AB216" si="171">AA216-AF216</f>
        <v>0</v>
      </c>
      <c r="AC216" s="172">
        <f t="shared" ref="AC216" si="172">IFERROR(((Z216-AE216)/AE216),0)</f>
        <v>0</v>
      </c>
      <c r="AD216" s="171">
        <f>Pasākumu_līmenis!AB154</f>
        <v>0</v>
      </c>
      <c r="AE216" s="171">
        <v>21059281.16</v>
      </c>
      <c r="AF216" s="172">
        <v>0.99999996011260028</v>
      </c>
      <c r="AG216" s="171">
        <f>Pasākumu_līmenis!AE154</f>
        <v>21059281.16</v>
      </c>
      <c r="AH216" s="172">
        <f t="shared" ref="AH216" si="173">AG216/$H216</f>
        <v>0.99999996011260028</v>
      </c>
      <c r="AI216" s="172">
        <f t="shared" ref="AI216" si="174">AH216-AL216</f>
        <v>0</v>
      </c>
      <c r="AJ216" s="172">
        <f t="shared" ref="AJ216" si="175">IFERROR(((AG216-AK216)/AK216),0)</f>
        <v>0</v>
      </c>
      <c r="AK216" s="171">
        <v>21059281.16</v>
      </c>
      <c r="AL216" s="172">
        <v>0.99999996011260028</v>
      </c>
    </row>
    <row r="217" spans="1:38" ht="56.25" x14ac:dyDescent="0.3">
      <c r="A217" s="265" t="s">
        <v>1378</v>
      </c>
      <c r="B217" s="256" t="str">
        <f>VLOOKUP(A217,saīsinājumi_LV_ENG!A:G,5,FALSE)</f>
        <v xml:space="preserve">Daudzdzīvokļu māju energoefektivitāte </v>
      </c>
      <c r="C217" s="12"/>
      <c r="D217" s="12"/>
      <c r="E217" s="44" t="str">
        <f>Pasākumu_līmenis!D155</f>
        <v>ReactEU ERAF</v>
      </c>
      <c r="F217" s="44" t="str">
        <f>Pasākumu_līmenis!E155</f>
        <v>EM</v>
      </c>
      <c r="G217" s="279"/>
      <c r="H217" s="171">
        <f>Pasākumu_līmenis!F155</f>
        <v>29482994</v>
      </c>
      <c r="I217" s="171">
        <f>Pasākumu_līmenis!G155</f>
        <v>0</v>
      </c>
      <c r="J217" s="171">
        <f>Pasākumu_līmenis!H155</f>
        <v>29482994</v>
      </c>
      <c r="K217" s="171">
        <f>Pasākumu_līmenis!I155</f>
        <v>0</v>
      </c>
      <c r="L217" s="171">
        <f>Pasākumu_līmenis!J155</f>
        <v>29482994</v>
      </c>
      <c r="M217" s="172">
        <f t="shared" ref="M217" si="176">L217/$H217</f>
        <v>1</v>
      </c>
      <c r="N217" s="172">
        <f>M217-R217</f>
        <v>0</v>
      </c>
      <c r="O217" s="172">
        <f t="shared" si="125"/>
        <v>0</v>
      </c>
      <c r="P217" s="171">
        <f>Pasākumu_līmenis!N155</f>
        <v>0</v>
      </c>
      <c r="Q217" s="171">
        <v>29482994</v>
      </c>
      <c r="R217" s="172">
        <v>1</v>
      </c>
      <c r="S217" s="171">
        <f>Pasākumu_līmenis!Q155</f>
        <v>29482994</v>
      </c>
      <c r="T217" s="172">
        <f t="shared" ref="T217" si="177">S217/$H217</f>
        <v>1</v>
      </c>
      <c r="U217" s="172">
        <f t="shared" ref="U217" si="178">T217-Y217</f>
        <v>0</v>
      </c>
      <c r="V217" s="172">
        <f t="shared" si="126"/>
        <v>0</v>
      </c>
      <c r="W217" s="171">
        <f>Pasākumu_līmenis!U155</f>
        <v>0</v>
      </c>
      <c r="X217" s="171">
        <v>29482994</v>
      </c>
      <c r="Y217" s="172">
        <v>1</v>
      </c>
      <c r="Z217" s="171">
        <f>Pasākumu_līmenis!X155</f>
        <v>29482994</v>
      </c>
      <c r="AA217" s="172">
        <f t="shared" ref="AA217" si="179">Z217/$H217</f>
        <v>1</v>
      </c>
      <c r="AB217" s="172">
        <f t="shared" ref="AB217" si="180">AA217-AF217</f>
        <v>0</v>
      </c>
      <c r="AC217" s="172">
        <f t="shared" si="163"/>
        <v>0</v>
      </c>
      <c r="AD217" s="171">
        <f>Pasākumu_līmenis!AB155</f>
        <v>0</v>
      </c>
      <c r="AE217" s="171">
        <v>29482994</v>
      </c>
      <c r="AF217" s="172">
        <v>1</v>
      </c>
      <c r="AG217" s="171">
        <f>Pasākumu_līmenis!AE155</f>
        <v>29269254.850000001</v>
      </c>
      <c r="AH217" s="172">
        <f t="shared" ref="AH217" si="181">AG217/$H217</f>
        <v>0.9927504258895824</v>
      </c>
      <c r="AI217" s="172">
        <f t="shared" ref="AI217" si="182">AH217-AL217</f>
        <v>0</v>
      </c>
      <c r="AJ217" s="172">
        <f t="shared" si="164"/>
        <v>0</v>
      </c>
      <c r="AK217" s="171">
        <v>29269254.850000001</v>
      </c>
      <c r="AL217" s="172">
        <v>0.9927504258895824</v>
      </c>
    </row>
    <row r="218" spans="1:38" ht="112.5" x14ac:dyDescent="0.3">
      <c r="A218" s="265" t="s">
        <v>1562</v>
      </c>
      <c r="B218" s="256" t="s">
        <v>1563</v>
      </c>
      <c r="C218" s="12"/>
      <c r="D218" s="12"/>
      <c r="E218" s="44" t="str">
        <f>Pasākumu_līmenis!D156</f>
        <v>ReactEU ERAF</v>
      </c>
      <c r="F218" s="44" t="str">
        <f>Pasākumu_līmenis!E156</f>
        <v>EM</v>
      </c>
      <c r="G218" s="279"/>
      <c r="H218" s="171">
        <f>Pasākumu_līmenis!F156</f>
        <v>5037633</v>
      </c>
      <c r="I218" s="171">
        <f>Pasākumu_līmenis!G156</f>
        <v>1</v>
      </c>
      <c r="J218" s="171">
        <f>Pasākumu_līmenis!H156</f>
        <v>5037634</v>
      </c>
      <c r="K218" s="171">
        <f>Pasākumu_līmenis!I156</f>
        <v>0</v>
      </c>
      <c r="L218" s="171">
        <f>Pasākumu_līmenis!J156</f>
        <v>5037633</v>
      </c>
      <c r="M218" s="172">
        <f t="shared" ref="M218:M219" si="183">L218/$H218</f>
        <v>1</v>
      </c>
      <c r="N218" s="172">
        <f t="shared" ref="N218:N219" si="184">M218-R218</f>
        <v>0</v>
      </c>
      <c r="O218" s="172">
        <f t="shared" ref="O218:O219" si="185">IFERROR(((L218-Q218)/Q218),0)</f>
        <v>0</v>
      </c>
      <c r="P218" s="171">
        <f>Pasākumu_līmenis!N156</f>
        <v>0</v>
      </c>
      <c r="Q218" s="171">
        <v>5037633</v>
      </c>
      <c r="R218" s="172">
        <v>1</v>
      </c>
      <c r="S218" s="171">
        <f>Pasākumu_līmenis!Q156</f>
        <v>5037633</v>
      </c>
      <c r="T218" s="172">
        <f t="shared" ref="T218:T219" si="186">S218/$H218</f>
        <v>1</v>
      </c>
      <c r="U218" s="172">
        <f t="shared" ref="U218:U219" si="187">T218-Y218</f>
        <v>0</v>
      </c>
      <c r="V218" s="172">
        <f t="shared" ref="V218:V219" si="188">IFERROR(((S218-X218)/X218),0)</f>
        <v>0</v>
      </c>
      <c r="W218" s="171">
        <f>Pasākumu_līmenis!U156</f>
        <v>0</v>
      </c>
      <c r="X218" s="171">
        <v>5037633</v>
      </c>
      <c r="Y218" s="172">
        <v>1</v>
      </c>
      <c r="Z218" s="171">
        <f>Pasākumu_līmenis!X156</f>
        <v>5037633</v>
      </c>
      <c r="AA218" s="172">
        <f t="shared" ref="AA218:AA219" si="189">Z218/$H218</f>
        <v>1</v>
      </c>
      <c r="AB218" s="172">
        <f t="shared" ref="AB218:AB219" si="190">AA218-AF218</f>
        <v>0</v>
      </c>
      <c r="AC218" s="172">
        <f t="shared" ref="AC218:AC219" si="191">IFERROR(((Z218-AE218)/AE218),0)</f>
        <v>0</v>
      </c>
      <c r="AD218" s="171">
        <f>Pasākumu_līmenis!AB156</f>
        <v>0</v>
      </c>
      <c r="AE218" s="171">
        <v>5037633</v>
      </c>
      <c r="AF218" s="172">
        <v>1</v>
      </c>
      <c r="AG218" s="171">
        <f>Pasākumu_līmenis!AE156</f>
        <v>5019349.8099999996</v>
      </c>
      <c r="AH218" s="172">
        <f t="shared" ref="AH218:AH219" si="192">AG218/$H218</f>
        <v>0.99637067845156635</v>
      </c>
      <c r="AI218" s="172">
        <f t="shared" ref="AI218:AI219" si="193">AH218-AL218</f>
        <v>0</v>
      </c>
      <c r="AJ218" s="172">
        <f t="shared" ref="AJ218:AJ219" si="194">IFERROR(((AG218-AK218)/AK218),0)</f>
        <v>0</v>
      </c>
      <c r="AK218" s="171">
        <v>5019349.8099999996</v>
      </c>
      <c r="AL218" s="172">
        <v>0.99637067845156635</v>
      </c>
    </row>
    <row r="219" spans="1:38" ht="75" x14ac:dyDescent="0.3">
      <c r="A219" s="265" t="s">
        <v>1560</v>
      </c>
      <c r="B219" s="256" t="s">
        <v>1561</v>
      </c>
      <c r="C219" s="12"/>
      <c r="D219" s="12"/>
      <c r="E219" s="44" t="str">
        <f>Pasākumu_līmenis!D157</f>
        <v>ReactEU ERAF</v>
      </c>
      <c r="F219" s="44" t="str">
        <f>Pasākumu_līmenis!E157</f>
        <v>EM</v>
      </c>
      <c r="G219" s="279"/>
      <c r="H219" s="171">
        <f>Pasākumu_līmenis!F157</f>
        <v>842372</v>
      </c>
      <c r="I219" s="171">
        <f>Pasākumu_līmenis!G157</f>
        <v>0</v>
      </c>
      <c r="J219" s="171">
        <f>Pasākumu_līmenis!H157</f>
        <v>842372</v>
      </c>
      <c r="K219" s="171">
        <f>Pasākumu_līmenis!I157</f>
        <v>0</v>
      </c>
      <c r="L219" s="171">
        <f>Pasākumu_līmenis!J157</f>
        <v>842372</v>
      </c>
      <c r="M219" s="172">
        <f t="shared" si="183"/>
        <v>1</v>
      </c>
      <c r="N219" s="172">
        <f t="shared" si="184"/>
        <v>0</v>
      </c>
      <c r="O219" s="172">
        <f t="shared" si="185"/>
        <v>0</v>
      </c>
      <c r="P219" s="171">
        <f>Pasākumu_līmenis!N157</f>
        <v>0</v>
      </c>
      <c r="Q219" s="171">
        <v>842372</v>
      </c>
      <c r="R219" s="172">
        <v>1</v>
      </c>
      <c r="S219" s="171">
        <f>Pasākumu_līmenis!Q157</f>
        <v>842372</v>
      </c>
      <c r="T219" s="172">
        <f t="shared" si="186"/>
        <v>1</v>
      </c>
      <c r="U219" s="172">
        <f t="shared" si="187"/>
        <v>0</v>
      </c>
      <c r="V219" s="172">
        <f t="shared" si="188"/>
        <v>0</v>
      </c>
      <c r="W219" s="171">
        <f>Pasākumu_līmenis!U157</f>
        <v>0</v>
      </c>
      <c r="X219" s="171">
        <v>842372</v>
      </c>
      <c r="Y219" s="172">
        <v>1</v>
      </c>
      <c r="Z219" s="171">
        <f>Pasākumu_līmenis!X157</f>
        <v>842372</v>
      </c>
      <c r="AA219" s="172">
        <f t="shared" si="189"/>
        <v>1</v>
      </c>
      <c r="AB219" s="172">
        <f t="shared" si="190"/>
        <v>0</v>
      </c>
      <c r="AC219" s="172">
        <f t="shared" si="191"/>
        <v>0</v>
      </c>
      <c r="AD219" s="171">
        <f>Pasākumu_līmenis!AB157</f>
        <v>0</v>
      </c>
      <c r="AE219" s="171">
        <v>842372</v>
      </c>
      <c r="AF219" s="172">
        <v>1</v>
      </c>
      <c r="AG219" s="171">
        <f>Pasākumu_līmenis!AE157</f>
        <v>500442.8</v>
      </c>
      <c r="AH219" s="172">
        <f t="shared" si="192"/>
        <v>0.59408764773757916</v>
      </c>
      <c r="AI219" s="172">
        <f t="shared" si="193"/>
        <v>0</v>
      </c>
      <c r="AJ219" s="172">
        <f t="shared" si="194"/>
        <v>0</v>
      </c>
      <c r="AK219" s="171">
        <v>500442.8</v>
      </c>
      <c r="AL219" s="172">
        <v>0.59408764773757916</v>
      </c>
    </row>
    <row r="220" spans="1:38" ht="56.25" x14ac:dyDescent="0.3">
      <c r="A220" s="265" t="s">
        <v>1386</v>
      </c>
      <c r="B220" s="256" t="str">
        <f>VLOOKUP(A220,saīsinājumi_LV_ENG!A:G,5,FALSE)</f>
        <v>Praktiskas ievirzes pētniecība</v>
      </c>
      <c r="C220" s="12"/>
      <c r="D220" s="12"/>
      <c r="E220" s="44" t="str">
        <f>Pasākumu_līmenis!D158</f>
        <v>ReactEU ERAF</v>
      </c>
      <c r="F220" s="44" t="str">
        <f>Pasākumu_līmenis!E158</f>
        <v>IZM</v>
      </c>
      <c r="G220" s="279"/>
      <c r="H220" s="171">
        <f>Pasākumu_līmenis!F158</f>
        <v>6741442</v>
      </c>
      <c r="I220" s="171">
        <f>Pasākumu_līmenis!G158</f>
        <v>0</v>
      </c>
      <c r="J220" s="171">
        <f>Pasākumu_līmenis!H158</f>
        <v>6741442</v>
      </c>
      <c r="K220" s="171">
        <f>Pasākumu_līmenis!I158</f>
        <v>0</v>
      </c>
      <c r="L220" s="171">
        <f>Pasākumu_līmenis!J158</f>
        <v>6665621.9199999999</v>
      </c>
      <c r="M220" s="172">
        <f t="shared" ref="M220" si="195">L220/$H220</f>
        <v>0.98875313619845728</v>
      </c>
      <c r="N220" s="172">
        <f>M220-R220</f>
        <v>0</v>
      </c>
      <c r="O220" s="172">
        <f t="shared" ref="O220" si="196">IFERROR(((L220-Q220)/Q220),0)</f>
        <v>0</v>
      </c>
      <c r="P220" s="171">
        <f>Pasākumu_līmenis!N158</f>
        <v>16</v>
      </c>
      <c r="Q220" s="171">
        <v>6665621.9199999999</v>
      </c>
      <c r="R220" s="172">
        <v>0.98875313619845728</v>
      </c>
      <c r="S220" s="171">
        <f>Pasākumu_līmenis!Q158</f>
        <v>6665621.9199999999</v>
      </c>
      <c r="T220" s="172">
        <f t="shared" ref="T220" si="197">S220/$H220</f>
        <v>0.98875313619845728</v>
      </c>
      <c r="U220" s="172">
        <f t="shared" ref="U220" si="198">T220-Y220</f>
        <v>0</v>
      </c>
      <c r="V220" s="172">
        <f t="shared" ref="V220" si="199">IFERROR(((S220-X220)/X220),0)</f>
        <v>0</v>
      </c>
      <c r="W220" s="171">
        <f>Pasākumu_līmenis!U158</f>
        <v>16</v>
      </c>
      <c r="X220" s="171">
        <v>6665621.9199999999</v>
      </c>
      <c r="Y220" s="172">
        <v>0.98875313619845728</v>
      </c>
      <c r="Z220" s="171">
        <f>Pasākumu_līmenis!X158</f>
        <v>6665621.9199999999</v>
      </c>
      <c r="AA220" s="172">
        <f t="shared" ref="AA220" si="200">Z220/$H220</f>
        <v>0.98875313619845728</v>
      </c>
      <c r="AB220" s="172">
        <f t="shared" ref="AB220" si="201">AA220-AF220</f>
        <v>0</v>
      </c>
      <c r="AC220" s="172">
        <f t="shared" ref="AC220" si="202">IFERROR(((Z220-AE220)/AE220),0)</f>
        <v>0</v>
      </c>
      <c r="AD220" s="171">
        <f>Pasākumu_līmenis!AB158</f>
        <v>16</v>
      </c>
      <c r="AE220" s="171">
        <v>6665621.9199999999</v>
      </c>
      <c r="AF220" s="172">
        <v>0.98875313619845728</v>
      </c>
      <c r="AG220" s="171">
        <f>Pasākumu_līmenis!AE158</f>
        <v>6665621.9199999999</v>
      </c>
      <c r="AH220" s="172">
        <f t="shared" ref="AH220" si="203">AG220/$H220</f>
        <v>0.98875313619845728</v>
      </c>
      <c r="AI220" s="172">
        <f t="shared" ref="AI220" si="204">AH220-AL220</f>
        <v>0</v>
      </c>
      <c r="AJ220" s="172">
        <f t="shared" ref="AJ220" si="205">IFERROR(((AG220-AK220)/AK220),0)</f>
        <v>0</v>
      </c>
      <c r="AK220" s="171">
        <v>6665621.9199999999</v>
      </c>
      <c r="AL220" s="172">
        <v>0.98875313619845728</v>
      </c>
    </row>
    <row r="221" spans="1:38" ht="20.25" x14ac:dyDescent="0.3">
      <c r="A221" s="265" t="s">
        <v>1387</v>
      </c>
      <c r="B221" s="256" t="str">
        <f>VLOOKUP(A221,saīsinājumi_LV_ENG!A:G,5,FALSE)</f>
        <v>Izglītības iestāžu digitalizācija</v>
      </c>
      <c r="C221" s="12"/>
      <c r="D221" s="12"/>
      <c r="E221" s="44" t="s">
        <v>344</v>
      </c>
      <c r="F221" s="44" t="s">
        <v>348</v>
      </c>
      <c r="G221" s="279"/>
      <c r="H221" s="171">
        <f>Pasākumu_līmenis!F159</f>
        <v>493576</v>
      </c>
      <c r="I221" s="171">
        <f>Pasākumu_līmenis!G159</f>
        <v>0</v>
      </c>
      <c r="J221" s="171">
        <f>Pasākumu_līmenis!H159</f>
        <v>493576</v>
      </c>
      <c r="K221" s="171">
        <f>Pasākumu_līmenis!I159</f>
        <v>0</v>
      </c>
      <c r="L221" s="171">
        <f>Pasākumu_līmenis!J159</f>
        <v>0</v>
      </c>
      <c r="M221" s="172">
        <f t="shared" ref="M221:M222" si="206">L221/$H221</f>
        <v>0</v>
      </c>
      <c r="N221" s="172">
        <f t="shared" ref="N221:N222" si="207">M221-R221</f>
        <v>0</v>
      </c>
      <c r="O221" s="172">
        <f t="shared" ref="O221:O222" si="208">IFERROR(((L221-Q221)/Q221),0)</f>
        <v>0</v>
      </c>
      <c r="P221" s="171">
        <f>Pasākumu_līmenis!N159</f>
        <v>0</v>
      </c>
      <c r="Q221" s="171">
        <v>0</v>
      </c>
      <c r="R221" s="172">
        <v>0</v>
      </c>
      <c r="S221" s="171">
        <f>Pasākumu_līmenis!Q159</f>
        <v>0</v>
      </c>
      <c r="T221" s="172">
        <f t="shared" ref="T221:T222" si="209">S221/$H221</f>
        <v>0</v>
      </c>
      <c r="U221" s="172">
        <f t="shared" ref="U221:U222" si="210">T221-Y221</f>
        <v>0</v>
      </c>
      <c r="V221" s="172">
        <f t="shared" ref="V221:V222" si="211">IFERROR(((S221-X221)/X221),0)</f>
        <v>0</v>
      </c>
      <c r="W221" s="171">
        <f>Pasākumu_līmenis!U159</f>
        <v>0</v>
      </c>
      <c r="X221" s="171">
        <v>0</v>
      </c>
      <c r="Y221" s="172">
        <v>0</v>
      </c>
      <c r="Z221" s="171">
        <f>Pasākumu_līmenis!X159</f>
        <v>0</v>
      </c>
      <c r="AA221" s="172">
        <f t="shared" ref="AA221:AA222" si="212">Z221/$H221</f>
        <v>0</v>
      </c>
      <c r="AB221" s="172">
        <f t="shared" ref="AB221:AB222" si="213">AA221-AF221</f>
        <v>0</v>
      </c>
      <c r="AC221" s="172">
        <f t="shared" ref="AC221:AC222" si="214">IFERROR(((Z221-AE221)/AE221),0)</f>
        <v>0</v>
      </c>
      <c r="AD221" s="171">
        <f>Pasākumu_līmenis!AB159</f>
        <v>0</v>
      </c>
      <c r="AE221" s="171">
        <v>0</v>
      </c>
      <c r="AF221" s="172">
        <v>0</v>
      </c>
      <c r="AG221" s="171">
        <f>Pasākumu_līmenis!AE159</f>
        <v>0</v>
      </c>
      <c r="AH221" s="172">
        <f t="shared" ref="AH221:AH222" si="215">AG221/$H221</f>
        <v>0</v>
      </c>
      <c r="AI221" s="172">
        <f t="shared" ref="AI221:AI222" si="216">AH221-AL221</f>
        <v>0</v>
      </c>
      <c r="AJ221" s="172">
        <f t="shared" ref="AJ221:AJ222" si="217">IFERROR(((AG221-AK221)/AK221),0)</f>
        <v>0</v>
      </c>
      <c r="AK221" s="171">
        <v>0</v>
      </c>
      <c r="AL221" s="172">
        <v>0</v>
      </c>
    </row>
    <row r="222" spans="1:38" ht="56.25" x14ac:dyDescent="0.3">
      <c r="A222" s="265" t="s">
        <v>1387</v>
      </c>
      <c r="B222" s="256" t="str">
        <f>VLOOKUP(A222,saīsinājumi_LV_ENG!A:G,5,FALSE)</f>
        <v>Izglītības iestāžu digitalizācija</v>
      </c>
      <c r="C222" s="12"/>
      <c r="D222" s="12"/>
      <c r="E222" s="44" t="s">
        <v>1375</v>
      </c>
      <c r="F222" s="44" t="s">
        <v>348</v>
      </c>
      <c r="G222" s="279"/>
      <c r="H222" s="171">
        <f>Pasākumu_līmenis!F160</f>
        <v>8895441</v>
      </c>
      <c r="I222" s="171">
        <f>Pasākumu_līmenis!G160</f>
        <v>0</v>
      </c>
      <c r="J222" s="171">
        <f>Pasākumu_līmenis!H160</f>
        <v>8895441</v>
      </c>
      <c r="K222" s="171">
        <f>Pasākumu_līmenis!I160</f>
        <v>0</v>
      </c>
      <c r="L222" s="171">
        <f>Pasākumu_līmenis!J160</f>
        <v>8895441</v>
      </c>
      <c r="M222" s="172">
        <f t="shared" si="206"/>
        <v>1</v>
      </c>
      <c r="N222" s="172">
        <f t="shared" si="207"/>
        <v>0</v>
      </c>
      <c r="O222" s="172">
        <f t="shared" si="208"/>
        <v>0</v>
      </c>
      <c r="P222" s="171">
        <f>Pasākumu_līmenis!N160</f>
        <v>0</v>
      </c>
      <c r="Q222" s="171">
        <v>8895441</v>
      </c>
      <c r="R222" s="172">
        <v>1</v>
      </c>
      <c r="S222" s="171">
        <f>Pasākumu_līmenis!Q160</f>
        <v>8895441</v>
      </c>
      <c r="T222" s="172">
        <f t="shared" si="209"/>
        <v>1</v>
      </c>
      <c r="U222" s="172">
        <f t="shared" si="210"/>
        <v>0</v>
      </c>
      <c r="V222" s="172">
        <f t="shared" si="211"/>
        <v>0</v>
      </c>
      <c r="W222" s="171">
        <f>Pasākumu_līmenis!U160</f>
        <v>0</v>
      </c>
      <c r="X222" s="171">
        <v>8895441</v>
      </c>
      <c r="Y222" s="172">
        <v>1</v>
      </c>
      <c r="Z222" s="171">
        <f>Pasākumu_līmenis!X160</f>
        <v>8895441</v>
      </c>
      <c r="AA222" s="172">
        <f t="shared" si="212"/>
        <v>1</v>
      </c>
      <c r="AB222" s="172">
        <f t="shared" si="213"/>
        <v>0</v>
      </c>
      <c r="AC222" s="172">
        <f t="shared" si="214"/>
        <v>0</v>
      </c>
      <c r="AD222" s="171">
        <f>Pasākumu_līmenis!AB160</f>
        <v>0</v>
      </c>
      <c r="AE222" s="171">
        <v>8895441</v>
      </c>
      <c r="AF222" s="172">
        <v>1</v>
      </c>
      <c r="AG222" s="171">
        <f>Pasākumu_līmenis!AE160</f>
        <v>8895441</v>
      </c>
      <c r="AH222" s="172">
        <f t="shared" si="215"/>
        <v>1</v>
      </c>
      <c r="AI222" s="172">
        <f t="shared" si="216"/>
        <v>0</v>
      </c>
      <c r="AJ222" s="172">
        <f t="shared" si="217"/>
        <v>0</v>
      </c>
      <c r="AK222" s="171">
        <v>8895441</v>
      </c>
      <c r="AL222" s="172">
        <v>1</v>
      </c>
    </row>
    <row r="223" spans="1:38" ht="59.25" customHeight="1" x14ac:dyDescent="0.3">
      <c r="A223" s="265" t="s">
        <v>1377</v>
      </c>
      <c r="B223" s="256" t="str">
        <f>VLOOKUP(A223,saīsinājumi_LV_ENG!A:G,5,FALSE)</f>
        <v>Pašvaldību infrastruktūra energoefektivitāte</v>
      </c>
      <c r="C223" s="12"/>
      <c r="D223" s="12"/>
      <c r="E223" s="44" t="str">
        <f>Pasākumu_līmenis!D161</f>
        <v>ReactEU ERAF</v>
      </c>
      <c r="F223" s="44" t="str">
        <f>Pasākumu_līmenis!E161</f>
        <v>VARAM</v>
      </c>
      <c r="G223" s="279"/>
      <c r="H223" s="171">
        <f>Pasākumu_līmenis!F161</f>
        <v>28808246</v>
      </c>
      <c r="I223" s="171">
        <f>Pasākumu_līmenis!G161</f>
        <v>0</v>
      </c>
      <c r="J223" s="171">
        <f>Pasākumu_līmenis!H161</f>
        <v>28808246</v>
      </c>
      <c r="K223" s="171">
        <f>Pasākumu_līmenis!I161</f>
        <v>0</v>
      </c>
      <c r="L223" s="171">
        <f>Pasākumu_līmenis!J161</f>
        <v>24725187.969999999</v>
      </c>
      <c r="M223" s="172">
        <f t="shared" ref="M223" si="218">L223/$H223</f>
        <v>0.85826773244021859</v>
      </c>
      <c r="N223" s="172">
        <f>M223-R223</f>
        <v>0</v>
      </c>
      <c r="O223" s="172">
        <f t="shared" ref="O223" si="219">IFERROR(((L223-Q223)/Q223),0)</f>
        <v>0</v>
      </c>
      <c r="P223" s="171">
        <f>Pasākumu_līmenis!N161</f>
        <v>58</v>
      </c>
      <c r="Q223" s="171">
        <v>24725187.969999999</v>
      </c>
      <c r="R223" s="172">
        <v>0.85826773244021859</v>
      </c>
      <c r="S223" s="171">
        <f>Pasākumu_līmenis!Q161</f>
        <v>24725187.969999999</v>
      </c>
      <c r="T223" s="172">
        <f t="shared" ref="T223" si="220">S223/$H223</f>
        <v>0.85826773244021859</v>
      </c>
      <c r="U223" s="172">
        <f t="shared" ref="U223" si="221">T223-Y223</f>
        <v>0</v>
      </c>
      <c r="V223" s="172">
        <f t="shared" ref="V223" si="222">IFERROR(((S223-X223)/X223),0)</f>
        <v>0</v>
      </c>
      <c r="W223" s="171">
        <f>Pasākumu_līmenis!U161</f>
        <v>58</v>
      </c>
      <c r="X223" s="171">
        <v>24725187.969999999</v>
      </c>
      <c r="Y223" s="172">
        <v>0.85826773244021859</v>
      </c>
      <c r="Z223" s="171">
        <f>Pasākumu_līmenis!X161</f>
        <v>24725187.969999999</v>
      </c>
      <c r="AA223" s="172">
        <f t="shared" ref="AA223" si="223">Z223/$H223</f>
        <v>0.85826773244021859</v>
      </c>
      <c r="AB223" s="172">
        <f t="shared" ref="AB223" si="224">AA223-AF223</f>
        <v>0</v>
      </c>
      <c r="AC223" s="172">
        <f t="shared" ref="AC223" si="225">IFERROR(((Z223-AE223)/AE223),0)</f>
        <v>0</v>
      </c>
      <c r="AD223" s="171">
        <f>Pasākumu_līmenis!AB161</f>
        <v>58</v>
      </c>
      <c r="AE223" s="171">
        <v>24725187.969999999</v>
      </c>
      <c r="AF223" s="172">
        <v>0.85826773244021859</v>
      </c>
      <c r="AG223" s="171">
        <f>Pasākumu_līmenis!AE161</f>
        <v>24774480.260000002</v>
      </c>
      <c r="AH223" s="172">
        <f t="shared" ref="AH223" si="226">AG223/$H223</f>
        <v>0.85997878038114506</v>
      </c>
      <c r="AI223" s="172">
        <f t="shared" ref="AI223" si="227">AH223-AL223</f>
        <v>0</v>
      </c>
      <c r="AJ223" s="172">
        <f t="shared" ref="AJ223" si="228">IFERROR(((AG223-AK223)/AK223),0)</f>
        <v>0</v>
      </c>
      <c r="AK223" s="171">
        <v>24774480.260000002</v>
      </c>
      <c r="AL223" s="172">
        <v>0.85997878038114506</v>
      </c>
    </row>
    <row r="224" spans="1:38" ht="59.25" customHeight="1" x14ac:dyDescent="0.3">
      <c r="A224" s="265" t="s">
        <v>1389</v>
      </c>
      <c r="B224" s="256" t="str">
        <f>VLOOKUP(A224,saīsinājumi_LV_ENG!A:G,5,FALSE)</f>
        <v>Teritoriju revitalizācija uzņēmējdarbības veicināšanai pašvaldībās</v>
      </c>
      <c r="C224" s="12"/>
      <c r="D224" s="12"/>
      <c r="E224" s="44" t="str">
        <f>Pasākumu_līmenis!D162</f>
        <v>ReactEU ERAF</v>
      </c>
      <c r="F224" s="44" t="str">
        <f>Pasākumu_līmenis!E162</f>
        <v>VARAM</v>
      </c>
      <c r="G224" s="279"/>
      <c r="H224" s="171">
        <f>Pasākumu_līmenis!F162</f>
        <v>24165500</v>
      </c>
      <c r="I224" s="171">
        <f>Pasākumu_līmenis!G162</f>
        <v>0</v>
      </c>
      <c r="J224" s="171">
        <f>Pasākumu_līmenis!H162</f>
        <v>24165500</v>
      </c>
      <c r="K224" s="171">
        <f>Pasākumu_līmenis!I162</f>
        <v>0</v>
      </c>
      <c r="L224" s="171">
        <f>Pasākumu_līmenis!J162</f>
        <v>14698287.470000001</v>
      </c>
      <c r="M224" s="172">
        <f t="shared" ref="M224:M225" si="229">L224/$H224</f>
        <v>0.60823436179677648</v>
      </c>
      <c r="N224" s="172">
        <f t="shared" ref="N224:N225" si="230">M224-R224</f>
        <v>0</v>
      </c>
      <c r="O224" s="172">
        <f t="shared" ref="O224:O225" si="231">IFERROR(((L224-Q224)/Q224),0)</f>
        <v>0</v>
      </c>
      <c r="P224" s="171">
        <f>Pasākumu_līmenis!N162</f>
        <v>14</v>
      </c>
      <c r="Q224" s="171">
        <v>14698287.470000001</v>
      </c>
      <c r="R224" s="172">
        <v>0.60823436179677648</v>
      </c>
      <c r="S224" s="171">
        <f>Pasākumu_līmenis!Q162</f>
        <v>14698287.470000001</v>
      </c>
      <c r="T224" s="172">
        <f t="shared" ref="T224:T225" si="232">S224/$H224</f>
        <v>0.60823436179677648</v>
      </c>
      <c r="U224" s="172">
        <f t="shared" ref="U224:U225" si="233">T224-Y224</f>
        <v>0</v>
      </c>
      <c r="V224" s="172">
        <f t="shared" ref="V224:V225" si="234">IFERROR(((S224-X224)/X224),0)</f>
        <v>0</v>
      </c>
      <c r="W224" s="171">
        <f>Pasākumu_līmenis!U162</f>
        <v>14</v>
      </c>
      <c r="X224" s="171">
        <v>14698287.470000001</v>
      </c>
      <c r="Y224" s="172">
        <v>0.60823436179677648</v>
      </c>
      <c r="Z224" s="171">
        <f>Pasākumu_līmenis!X162</f>
        <v>14698287.470000001</v>
      </c>
      <c r="AA224" s="172">
        <f t="shared" ref="AA224:AA225" si="235">Z224/$H224</f>
        <v>0.60823436179677648</v>
      </c>
      <c r="AB224" s="172">
        <f t="shared" ref="AB224:AB225" si="236">AA224-AF224</f>
        <v>0</v>
      </c>
      <c r="AC224" s="172">
        <f t="shared" ref="AC224:AC225" si="237">IFERROR(((Z224-AE224)/AE224),0)</f>
        <v>0</v>
      </c>
      <c r="AD224" s="171">
        <f>Pasākumu_līmenis!AB162</f>
        <v>14</v>
      </c>
      <c r="AE224" s="171">
        <v>14698287.470000001</v>
      </c>
      <c r="AF224" s="172">
        <v>0.60823436179677648</v>
      </c>
      <c r="AG224" s="171">
        <f>Pasākumu_līmenis!AE162</f>
        <v>14647502.24</v>
      </c>
      <c r="AH224" s="172">
        <f t="shared" ref="AH224:AH225" si="238">AG224/$H224</f>
        <v>0.60613280254908863</v>
      </c>
      <c r="AI224" s="172">
        <f t="shared" ref="AI224:AI225" si="239">AH224-AL224</f>
        <v>0</v>
      </c>
      <c r="AJ224" s="172">
        <f t="shared" ref="AJ224:AJ225" si="240">IFERROR(((AG224-AK224)/AK224),0)</f>
        <v>0</v>
      </c>
      <c r="AK224" s="171">
        <v>14647502.24</v>
      </c>
      <c r="AL224" s="172">
        <v>0.60613280254908863</v>
      </c>
    </row>
    <row r="225" spans="1:38" ht="59.25" customHeight="1" x14ac:dyDescent="0.3">
      <c r="A225" s="265" t="s">
        <v>1373</v>
      </c>
      <c r="B225" s="256" t="str">
        <f>VLOOKUP(A225,saīsinājumi_LV_ENG!A:G,5,FALSE)</f>
        <v>Atveseļošanas pasākumi kultūras jomā</v>
      </c>
      <c r="C225" s="12"/>
      <c r="D225" s="12"/>
      <c r="E225" s="44" t="str">
        <f>Pasākumu_līmenis!D163</f>
        <v>ReactEU ERAF</v>
      </c>
      <c r="F225" s="44" t="str">
        <f>Pasākumu_līmenis!E163</f>
        <v>KM</v>
      </c>
      <c r="G225" s="279"/>
      <c r="H225" s="171">
        <f>Pasākumu_līmenis!F163</f>
        <v>10108455</v>
      </c>
      <c r="I225" s="171">
        <f>Pasākumu_līmenis!G163</f>
        <v>0</v>
      </c>
      <c r="J225" s="171">
        <f>Pasākumu_līmenis!H163</f>
        <v>10108455</v>
      </c>
      <c r="K225" s="171">
        <f>Pasākumu_līmenis!I163</f>
        <v>0</v>
      </c>
      <c r="L225" s="171">
        <f>Pasākumu_līmenis!J163</f>
        <v>9741588.3200000003</v>
      </c>
      <c r="M225" s="172">
        <f t="shared" si="229"/>
        <v>0.96370694829229597</v>
      </c>
      <c r="N225" s="172">
        <f t="shared" si="230"/>
        <v>0</v>
      </c>
      <c r="O225" s="172">
        <f t="shared" si="231"/>
        <v>0</v>
      </c>
      <c r="P225" s="171">
        <f>Pasākumu_līmenis!N163</f>
        <v>37</v>
      </c>
      <c r="Q225" s="171">
        <v>9741588.3200000003</v>
      </c>
      <c r="R225" s="172">
        <v>0.96370694829229597</v>
      </c>
      <c r="S225" s="171">
        <f>Pasākumu_līmenis!Q163</f>
        <v>9741588.3200000003</v>
      </c>
      <c r="T225" s="172">
        <f t="shared" si="232"/>
        <v>0.96370694829229597</v>
      </c>
      <c r="U225" s="172">
        <f t="shared" si="233"/>
        <v>0</v>
      </c>
      <c r="V225" s="172">
        <f t="shared" si="234"/>
        <v>0</v>
      </c>
      <c r="W225" s="171">
        <f>Pasākumu_līmenis!U163</f>
        <v>37</v>
      </c>
      <c r="X225" s="171">
        <v>9741588.3200000003</v>
      </c>
      <c r="Y225" s="172">
        <v>0.96370694829229597</v>
      </c>
      <c r="Z225" s="171">
        <f>Pasākumu_līmenis!X163</f>
        <v>9741588.3200000003</v>
      </c>
      <c r="AA225" s="172">
        <f t="shared" si="235"/>
        <v>0.96370694829229597</v>
      </c>
      <c r="AB225" s="172">
        <f t="shared" si="236"/>
        <v>0</v>
      </c>
      <c r="AC225" s="172">
        <f t="shared" si="237"/>
        <v>0</v>
      </c>
      <c r="AD225" s="171">
        <f>Pasākumu_līmenis!AB163</f>
        <v>37</v>
      </c>
      <c r="AE225" s="171">
        <v>9741588.3200000003</v>
      </c>
      <c r="AF225" s="172">
        <v>0.96370694829229597</v>
      </c>
      <c r="AG225" s="171">
        <f>Pasākumu_līmenis!AE163</f>
        <v>9741588.3200000003</v>
      </c>
      <c r="AH225" s="172">
        <f t="shared" si="238"/>
        <v>0.96370694829229597</v>
      </c>
      <c r="AI225" s="172">
        <f t="shared" si="239"/>
        <v>0</v>
      </c>
      <c r="AJ225" s="172">
        <f t="shared" si="240"/>
        <v>0</v>
      </c>
      <c r="AK225" s="171">
        <v>9741588.3200000003</v>
      </c>
      <c r="AL225" s="172">
        <v>0.96370694829229597</v>
      </c>
    </row>
    <row r="226" spans="1:38" ht="59.25" customHeight="1" x14ac:dyDescent="0.3">
      <c r="A226" s="265" t="s">
        <v>1515</v>
      </c>
      <c r="B226" s="256" t="str">
        <f>VLOOKUP(A226,saīsinājumi_LV_ENG!A:G,5,FALSE)</f>
        <v>Atveseļošanas pasākumi veselības nozarē (ERAF)</v>
      </c>
      <c r="C226" s="12"/>
      <c r="D226" s="12"/>
      <c r="E226" s="44" t="str">
        <f>Pasākumu_līmenis!D164</f>
        <v>ReactEU ERAF</v>
      </c>
      <c r="F226" s="44" t="str">
        <f>Pasākumu_līmenis!E164</f>
        <v>VM</v>
      </c>
      <c r="G226" s="279"/>
      <c r="H226" s="171">
        <f>Pasākumu_līmenis!F164</f>
        <v>51573785</v>
      </c>
      <c r="I226" s="171">
        <f>Pasākumu_līmenis!G164</f>
        <v>0</v>
      </c>
      <c r="J226" s="171">
        <f>Pasākumu_līmenis!H164</f>
        <v>51573785</v>
      </c>
      <c r="K226" s="171">
        <f>Pasākumu_līmenis!I164</f>
        <v>0</v>
      </c>
      <c r="L226" s="171">
        <f>Pasākumu_līmenis!J164</f>
        <v>49678760.5</v>
      </c>
      <c r="M226" s="172">
        <f t="shared" ref="M226:M228" si="241">L226/$H226</f>
        <v>0.96325605149980753</v>
      </c>
      <c r="N226" s="172">
        <f t="shared" ref="N226" si="242">M226-R226</f>
        <v>0</v>
      </c>
      <c r="O226" s="172">
        <f t="shared" ref="O226:O228" si="243">IFERROR(((L226-Q226)/Q226),0)</f>
        <v>0</v>
      </c>
      <c r="P226" s="171">
        <f>Pasākumu_līmenis!N164</f>
        <v>1</v>
      </c>
      <c r="Q226" s="171">
        <v>49678760.5</v>
      </c>
      <c r="R226" s="172">
        <v>0.96325605149980753</v>
      </c>
      <c r="S226" s="171">
        <f>Pasākumu_līmenis!Q164</f>
        <v>49678760.5</v>
      </c>
      <c r="T226" s="172">
        <f t="shared" ref="T226:T228" si="244">S226/$H226</f>
        <v>0.96325605149980753</v>
      </c>
      <c r="U226" s="172">
        <f t="shared" ref="U226:U228" si="245">T226-Y226</f>
        <v>0</v>
      </c>
      <c r="V226" s="172">
        <f t="shared" ref="V226:V228" si="246">IFERROR(((S226-X226)/X226),0)</f>
        <v>0</v>
      </c>
      <c r="W226" s="171">
        <f>Pasākumu_līmenis!U164</f>
        <v>1</v>
      </c>
      <c r="X226" s="171">
        <v>49678760.5</v>
      </c>
      <c r="Y226" s="172">
        <v>0.96325605149980753</v>
      </c>
      <c r="Z226" s="171">
        <f>Pasākumu_līmenis!X164</f>
        <v>49678760.5</v>
      </c>
      <c r="AA226" s="172">
        <f t="shared" ref="AA226:AA228" si="247">Z226/$H226</f>
        <v>0.96325605149980753</v>
      </c>
      <c r="AB226" s="172">
        <f t="shared" ref="AB226:AB228" si="248">AA226-AF226</f>
        <v>0</v>
      </c>
      <c r="AC226" s="172">
        <f t="shared" ref="AC226:AC228" si="249">IFERROR(((Z226-AE226)/AE226),0)</f>
        <v>0</v>
      </c>
      <c r="AD226" s="171">
        <f>Pasākumu_līmenis!AB164</f>
        <v>1</v>
      </c>
      <c r="AE226" s="171">
        <v>49678760.5</v>
      </c>
      <c r="AF226" s="172">
        <v>0.96325605149980753</v>
      </c>
      <c r="AG226" s="171">
        <f>Pasākumu_līmenis!AE164</f>
        <v>46399851.5</v>
      </c>
      <c r="AH226" s="172">
        <f t="shared" ref="AH226:AH228" si="250">AG226/$H226</f>
        <v>0.89967900358680286</v>
      </c>
      <c r="AI226" s="172">
        <f t="shared" ref="AI226:AI228" si="251">AH226-AL226</f>
        <v>0</v>
      </c>
      <c r="AJ226" s="172">
        <f t="shared" ref="AJ226:AJ228" si="252">IFERROR(((AG226-AK226)/AK226),0)</f>
        <v>0</v>
      </c>
      <c r="AK226" s="171">
        <v>46399851.5</v>
      </c>
      <c r="AL226" s="172">
        <v>0.89967900358680286</v>
      </c>
    </row>
    <row r="227" spans="1:38" ht="59.25" customHeight="1" x14ac:dyDescent="0.3">
      <c r="A227" s="265" t="s">
        <v>1516</v>
      </c>
      <c r="B227" s="256" t="str">
        <f>VLOOKUP(A227,saīsinājumi_LV_ENG!A:G,5,FALSE)</f>
        <v>Atveseļošanas pasākumi ekonomikas nozarē – nodarbināto apmācības (ERAF)</v>
      </c>
      <c r="C227" s="12"/>
      <c r="D227" s="12"/>
      <c r="E227" s="44" t="str">
        <f>Pasākumu_līmenis!D165</f>
        <v>ReactEU ERAF</v>
      </c>
      <c r="F227" s="44" t="str">
        <f>Pasākumu_līmenis!E165</f>
        <v>EM</v>
      </c>
      <c r="G227" s="279"/>
      <c r="H227" s="171">
        <f>Pasākumu_līmenis!F165</f>
        <v>10714708</v>
      </c>
      <c r="I227" s="171">
        <f>Pasākumu_līmenis!G165</f>
        <v>0</v>
      </c>
      <c r="J227" s="171">
        <f>Pasākumu_līmenis!H165</f>
        <v>10714708</v>
      </c>
      <c r="K227" s="171">
        <f>Pasākumu_līmenis!I165</f>
        <v>0</v>
      </c>
      <c r="L227" s="171">
        <f>Pasākumu_līmenis!J165</f>
        <v>1821682.11</v>
      </c>
      <c r="M227" s="172">
        <f t="shared" ref="M227" si="253">L227/$H227</f>
        <v>0.17001696266477817</v>
      </c>
      <c r="N227" s="172">
        <f t="shared" ref="N227" si="254">M227-R227</f>
        <v>0</v>
      </c>
      <c r="O227" s="172">
        <f t="shared" ref="O227" si="255">IFERROR(((L227-Q227)/Q227),0)</f>
        <v>0</v>
      </c>
      <c r="P227" s="171">
        <f>Pasākumu_līmenis!N165</f>
        <v>0</v>
      </c>
      <c r="Q227" s="171">
        <v>1821682.11</v>
      </c>
      <c r="R227" s="172">
        <v>0.17001696266477817</v>
      </c>
      <c r="S227" s="171">
        <f>Pasākumu_līmenis!Q165</f>
        <v>1821682.11</v>
      </c>
      <c r="T227" s="172">
        <f t="shared" ref="T227" si="256">S227/$H227</f>
        <v>0.17001696266477817</v>
      </c>
      <c r="U227" s="172">
        <f t="shared" ref="U227" si="257">T227-Y227</f>
        <v>0</v>
      </c>
      <c r="V227" s="172">
        <f t="shared" ref="V227" si="258">IFERROR(((S227-X227)/X227),0)</f>
        <v>0</v>
      </c>
      <c r="W227" s="171">
        <f>Pasākumu_līmenis!U165</f>
        <v>0</v>
      </c>
      <c r="X227" s="171">
        <v>1821682.11</v>
      </c>
      <c r="Y227" s="172">
        <v>0.17001696266477817</v>
      </c>
      <c r="Z227" s="171">
        <f>Pasākumu_līmenis!X165</f>
        <v>1821682.11</v>
      </c>
      <c r="AA227" s="172">
        <f t="shared" ref="AA227" si="259">Z227/$H227</f>
        <v>0.17001696266477817</v>
      </c>
      <c r="AB227" s="172">
        <f t="shared" ref="AB227" si="260">AA227-AF227</f>
        <v>0</v>
      </c>
      <c r="AC227" s="172">
        <f t="shared" ref="AC227" si="261">IFERROR(((Z227-AE227)/AE227),0)</f>
        <v>0</v>
      </c>
      <c r="AD227" s="171">
        <f>Pasākumu_līmenis!AB165</f>
        <v>0</v>
      </c>
      <c r="AE227" s="171">
        <v>1821682.11</v>
      </c>
      <c r="AF227" s="172">
        <v>0.17001696266477817</v>
      </c>
      <c r="AG227" s="171">
        <f>Pasākumu_līmenis!AE165</f>
        <v>3397061.36</v>
      </c>
      <c r="AH227" s="172">
        <f t="shared" ref="AH227" si="262">AG227/$H227</f>
        <v>0.3170465644047416</v>
      </c>
      <c r="AI227" s="172">
        <f t="shared" ref="AI227" si="263">AH227-AL227</f>
        <v>0</v>
      </c>
      <c r="AJ227" s="172">
        <f t="shared" ref="AJ227" si="264">IFERROR(((AG227-AK227)/AK227),0)</f>
        <v>0</v>
      </c>
      <c r="AK227" s="171">
        <v>3397061.36</v>
      </c>
      <c r="AL227" s="172">
        <v>0.3170465644047416</v>
      </c>
    </row>
    <row r="228" spans="1:38" ht="59.25" customHeight="1" x14ac:dyDescent="0.3">
      <c r="A228" s="249" t="s">
        <v>1500</v>
      </c>
      <c r="B228" s="250" t="str">
        <f>VLOOKUP(A228,saīsinājumi_LV_ENG!A:G,5,FALSE)</f>
        <v>Pasākumi Covid-19 pandēmijas seku mazināšanai (ESF)</v>
      </c>
      <c r="C228" s="10"/>
      <c r="D228" s="227"/>
      <c r="E228" s="68"/>
      <c r="F228" s="68"/>
      <c r="G228" s="281"/>
      <c r="H228" s="228">
        <f>SUM(H229:H232)</f>
        <v>22489087</v>
      </c>
      <c r="I228" s="228">
        <f t="shared" ref="I228:K228" si="265">SUM(I229:I232)</f>
        <v>0</v>
      </c>
      <c r="J228" s="228">
        <f t="shared" si="265"/>
        <v>22489087</v>
      </c>
      <c r="K228" s="228">
        <f t="shared" si="265"/>
        <v>0</v>
      </c>
      <c r="L228" s="228">
        <f>SUM(L229:L232)</f>
        <v>21467834.219999999</v>
      </c>
      <c r="M228" s="229">
        <f t="shared" si="241"/>
        <v>0.95458896219308498</v>
      </c>
      <c r="N228" s="229">
        <f>M228-R228</f>
        <v>0</v>
      </c>
      <c r="O228" s="229">
        <f t="shared" si="243"/>
        <v>0</v>
      </c>
      <c r="P228" s="228">
        <f>SUM(P229:P232)</f>
        <v>4</v>
      </c>
      <c r="Q228" s="177">
        <v>21467834.219999999</v>
      </c>
      <c r="R228" s="178">
        <v>0.95458896219308498</v>
      </c>
      <c r="S228" s="228">
        <f>SUM(S229:S232)</f>
        <v>21467834.219999999</v>
      </c>
      <c r="T228" s="229">
        <f t="shared" si="244"/>
        <v>0.95458896219308498</v>
      </c>
      <c r="U228" s="229">
        <f t="shared" si="245"/>
        <v>0</v>
      </c>
      <c r="V228" s="229">
        <f t="shared" si="246"/>
        <v>0</v>
      </c>
      <c r="W228" s="228">
        <f>SUM(W229:W232)</f>
        <v>4</v>
      </c>
      <c r="X228" s="228">
        <v>21467834.219999999</v>
      </c>
      <c r="Y228" s="229">
        <v>0.95458896219308498</v>
      </c>
      <c r="Z228" s="228">
        <f>SUM(Z229:Z232)</f>
        <v>21467834.219999999</v>
      </c>
      <c r="AA228" s="229">
        <f t="shared" si="247"/>
        <v>0.95458896219308498</v>
      </c>
      <c r="AB228" s="229">
        <f t="shared" si="248"/>
        <v>0</v>
      </c>
      <c r="AC228" s="229">
        <f t="shared" si="249"/>
        <v>0</v>
      </c>
      <c r="AD228" s="228">
        <f>SUM(AD229:AD232)</f>
        <v>4</v>
      </c>
      <c r="AE228" s="177">
        <v>21467834.219999999</v>
      </c>
      <c r="AF228" s="178">
        <v>0.95458896219308498</v>
      </c>
      <c r="AG228" s="228">
        <f>SUM(AG229:AG232)</f>
        <v>21128869.52</v>
      </c>
      <c r="AH228" s="229">
        <f t="shared" si="250"/>
        <v>0.93951655396237288</v>
      </c>
      <c r="AI228" s="229">
        <f t="shared" si="251"/>
        <v>0</v>
      </c>
      <c r="AJ228" s="229">
        <f t="shared" si="252"/>
        <v>0</v>
      </c>
      <c r="AK228" s="228">
        <v>21128869.52</v>
      </c>
      <c r="AL228" s="229">
        <v>0.93951655396237288</v>
      </c>
    </row>
    <row r="229" spans="1:38" ht="59.25" customHeight="1" x14ac:dyDescent="0.3">
      <c r="A229" s="265" t="s">
        <v>1390</v>
      </c>
      <c r="B229" s="256" t="str">
        <f>VLOOKUP(A229,saīsinājumi_LV_ENG!A:G,5,FALSE)</f>
        <v>Efektīvas pārvaldības nodrošināšana augstskolās</v>
      </c>
      <c r="C229" s="12"/>
      <c r="D229" s="12"/>
      <c r="E229" s="44" t="str">
        <f>Pasākumu_līmenis!D167</f>
        <v>ReactEU ESF</v>
      </c>
      <c r="F229" s="44" t="str">
        <f>Pasākumu_līmenis!E167</f>
        <v>IZM</v>
      </c>
      <c r="G229" s="279"/>
      <c r="H229" s="171">
        <f>Pasākumu_līmenis!F167</f>
        <v>5627882</v>
      </c>
      <c r="I229" s="171">
        <f>Pasākumu_līmenis!G167</f>
        <v>0</v>
      </c>
      <c r="J229" s="171">
        <f>Pasākumu_līmenis!H167</f>
        <v>5627882</v>
      </c>
      <c r="K229" s="171">
        <f>Pasākumu_līmenis!I167</f>
        <v>0</v>
      </c>
      <c r="L229" s="171">
        <f>Pasākumu_līmenis!J167</f>
        <v>4874489.05</v>
      </c>
      <c r="M229" s="172">
        <f t="shared" ref="M229:M231" si="266">L229/$H229</f>
        <v>0.8661320635365134</v>
      </c>
      <c r="N229" s="172">
        <f t="shared" ref="N229:N231" si="267">M229-R229</f>
        <v>0</v>
      </c>
      <c r="O229" s="172">
        <f t="shared" ref="O229:O231" si="268">IFERROR(((L229-Q229)/Q229),0)</f>
        <v>0</v>
      </c>
      <c r="P229" s="171">
        <f>Pasākumu_līmenis!N167</f>
        <v>4</v>
      </c>
      <c r="Q229" s="171">
        <v>4874489.05</v>
      </c>
      <c r="R229" s="172">
        <v>0.8661320635365134</v>
      </c>
      <c r="S229" s="171">
        <f>Pasākumu_līmenis!Q167</f>
        <v>4874489.05</v>
      </c>
      <c r="T229" s="172">
        <f t="shared" ref="T229:T231" si="269">S229/$H229</f>
        <v>0.8661320635365134</v>
      </c>
      <c r="U229" s="172">
        <f t="shared" ref="U229:U231" si="270">T229-Y229</f>
        <v>0</v>
      </c>
      <c r="V229" s="172">
        <f t="shared" ref="V229:V231" si="271">IFERROR(((S229-X229)/X229),0)</f>
        <v>0</v>
      </c>
      <c r="W229" s="171">
        <f>Pasākumu_līmenis!U167</f>
        <v>4</v>
      </c>
      <c r="X229" s="171">
        <v>4874489.05</v>
      </c>
      <c r="Y229" s="172">
        <v>0.8661320635365134</v>
      </c>
      <c r="Z229" s="171">
        <f>Pasākumu_līmenis!X167</f>
        <v>4874489.05</v>
      </c>
      <c r="AA229" s="172">
        <f t="shared" ref="AA229:AA231" si="272">Z229/$H229</f>
        <v>0.8661320635365134</v>
      </c>
      <c r="AB229" s="172">
        <f t="shared" ref="AB229:AB231" si="273">AA229-AF229</f>
        <v>0</v>
      </c>
      <c r="AC229" s="172">
        <f t="shared" ref="AC229:AC231" si="274">IFERROR(((Z229-AE229)/AE229),0)</f>
        <v>0</v>
      </c>
      <c r="AD229" s="171">
        <f>Pasākumu_līmenis!AB167</f>
        <v>4</v>
      </c>
      <c r="AE229" s="171">
        <v>4874489.05</v>
      </c>
      <c r="AF229" s="172">
        <v>0.8661320635365134</v>
      </c>
      <c r="AG229" s="171">
        <f>Pasākumu_līmenis!AE167</f>
        <v>4535524.3499999996</v>
      </c>
      <c r="AH229" s="172">
        <f t="shared" ref="AH229:AH231" si="275">AG229/$H229</f>
        <v>0.80590253136082091</v>
      </c>
      <c r="AI229" s="172">
        <f t="shared" ref="AI229:AI231" si="276">AH229-AL229</f>
        <v>0</v>
      </c>
      <c r="AJ229" s="172">
        <f t="shared" ref="AJ229:AJ231" si="277">IFERROR(((AG229-AK229)/AK229),0)</f>
        <v>0</v>
      </c>
      <c r="AK229" s="171">
        <v>4535524.3499999996</v>
      </c>
      <c r="AL229" s="172">
        <v>0.80590253136082091</v>
      </c>
    </row>
    <row r="230" spans="1:38" ht="59.25" customHeight="1" x14ac:dyDescent="0.3">
      <c r="A230" s="265" t="s">
        <v>1391</v>
      </c>
      <c r="B230" s="256" t="str">
        <f>VLOOKUP(A230,saīsinājumi_LV_ENG!A:G,5,FALSE)</f>
        <v>Atbalsts NEET jauniešiem</v>
      </c>
      <c r="C230" s="12"/>
      <c r="D230" s="12"/>
      <c r="E230" s="44" t="str">
        <f>Pasākumu_līmenis!D168</f>
        <v>ReactEU ESF</v>
      </c>
      <c r="F230" s="44" t="str">
        <f>Pasākumu_līmenis!E168</f>
        <v>IZM</v>
      </c>
      <c r="G230" s="279"/>
      <c r="H230" s="171">
        <f>Pasākumu_līmenis!F168</f>
        <v>1074024</v>
      </c>
      <c r="I230" s="171">
        <f>Pasākumu_līmenis!G168</f>
        <v>0</v>
      </c>
      <c r="J230" s="171">
        <f>Pasākumu_līmenis!H168</f>
        <v>1074024</v>
      </c>
      <c r="K230" s="171">
        <f>Pasākumu_līmenis!I168</f>
        <v>0</v>
      </c>
      <c r="L230" s="171">
        <f>Pasākumu_līmenis!J168</f>
        <v>1063173.68</v>
      </c>
      <c r="M230" s="172">
        <f t="shared" si="266"/>
        <v>0.989897506945841</v>
      </c>
      <c r="N230" s="172">
        <f t="shared" si="267"/>
        <v>0</v>
      </c>
      <c r="O230" s="172">
        <f t="shared" si="268"/>
        <v>0</v>
      </c>
      <c r="P230" s="171">
        <f>Pasākumu_līmenis!N168</f>
        <v>0</v>
      </c>
      <c r="Q230" s="171">
        <v>1063173.68</v>
      </c>
      <c r="R230" s="172">
        <v>0.989897506945841</v>
      </c>
      <c r="S230" s="171">
        <f>Pasākumu_līmenis!Q168</f>
        <v>1063173.68</v>
      </c>
      <c r="T230" s="172">
        <f t="shared" si="269"/>
        <v>0.989897506945841</v>
      </c>
      <c r="U230" s="172">
        <f t="shared" si="270"/>
        <v>0</v>
      </c>
      <c r="V230" s="172">
        <f t="shared" si="271"/>
        <v>0</v>
      </c>
      <c r="W230" s="171">
        <f>Pasākumu_līmenis!U168</f>
        <v>0</v>
      </c>
      <c r="X230" s="171">
        <v>1063173.68</v>
      </c>
      <c r="Y230" s="172">
        <v>0.989897506945841</v>
      </c>
      <c r="Z230" s="171">
        <f>Pasākumu_līmenis!X168</f>
        <v>1063173.68</v>
      </c>
      <c r="AA230" s="172">
        <f t="shared" si="272"/>
        <v>0.989897506945841</v>
      </c>
      <c r="AB230" s="172">
        <f t="shared" si="273"/>
        <v>0</v>
      </c>
      <c r="AC230" s="172">
        <f t="shared" si="274"/>
        <v>0</v>
      </c>
      <c r="AD230" s="171">
        <f>Pasākumu_līmenis!AB168</f>
        <v>0</v>
      </c>
      <c r="AE230" s="171">
        <v>1063173.68</v>
      </c>
      <c r="AF230" s="172">
        <v>0.989897506945841</v>
      </c>
      <c r="AG230" s="171">
        <f>Pasākumu_līmenis!AE168</f>
        <v>1063173.68</v>
      </c>
      <c r="AH230" s="172">
        <f t="shared" si="275"/>
        <v>0.989897506945841</v>
      </c>
      <c r="AI230" s="172">
        <f t="shared" si="276"/>
        <v>0</v>
      </c>
      <c r="AJ230" s="172">
        <f t="shared" si="277"/>
        <v>0</v>
      </c>
      <c r="AK230" s="171">
        <v>1063173.68</v>
      </c>
      <c r="AL230" s="172">
        <v>0.989897506945841</v>
      </c>
    </row>
    <row r="231" spans="1:38" ht="59.25" customHeight="1" x14ac:dyDescent="0.3">
      <c r="A231" s="265" t="s">
        <v>1520</v>
      </c>
      <c r="B231" s="256" t="str">
        <f>VLOOKUP(A231,saīsinājumi_LV_ENG!A:G,5,FALSE)</f>
        <v>Atveseļošanas pasākumi labklājības jomā (ESF)</v>
      </c>
      <c r="C231" s="12"/>
      <c r="D231" s="12"/>
      <c r="E231" s="44" t="str">
        <f>Pasākumu_līmenis!D169</f>
        <v>ReactEU ESF</v>
      </c>
      <c r="F231" s="44" t="str">
        <f>Pasākumu_līmenis!E169</f>
        <v>LM</v>
      </c>
      <c r="G231" s="279"/>
      <c r="H231" s="171">
        <f>Pasākumu_līmenis!F169</f>
        <v>11527850</v>
      </c>
      <c r="I231" s="171">
        <f>Pasākumu_līmenis!G169</f>
        <v>0</v>
      </c>
      <c r="J231" s="171">
        <f>Pasākumu_līmenis!H169</f>
        <v>11527850</v>
      </c>
      <c r="K231" s="171">
        <f>Pasākumu_līmenis!I169</f>
        <v>0</v>
      </c>
      <c r="L231" s="171">
        <f>Pasākumu_līmenis!J169</f>
        <v>11270840.49</v>
      </c>
      <c r="M231" s="172">
        <f t="shared" si="266"/>
        <v>0.97770533880992549</v>
      </c>
      <c r="N231" s="172">
        <f t="shared" si="267"/>
        <v>0</v>
      </c>
      <c r="O231" s="172">
        <f t="shared" si="268"/>
        <v>0</v>
      </c>
      <c r="P231" s="171">
        <f>Pasākumu_līmenis!N169</f>
        <v>0</v>
      </c>
      <c r="Q231" s="171">
        <v>11270840.49</v>
      </c>
      <c r="R231" s="172">
        <v>0.97770533880992549</v>
      </c>
      <c r="S231" s="171">
        <f>Pasākumu_līmenis!Q169</f>
        <v>11270840.49</v>
      </c>
      <c r="T231" s="172">
        <f t="shared" si="269"/>
        <v>0.97770533880992549</v>
      </c>
      <c r="U231" s="172">
        <f t="shared" si="270"/>
        <v>0</v>
      </c>
      <c r="V231" s="172">
        <f t="shared" si="271"/>
        <v>0</v>
      </c>
      <c r="W231" s="171">
        <f>Pasākumu_līmenis!U169</f>
        <v>0</v>
      </c>
      <c r="X231" s="171">
        <v>11270840.49</v>
      </c>
      <c r="Y231" s="172">
        <v>0.97770533880992549</v>
      </c>
      <c r="Z231" s="171">
        <f>Pasākumu_līmenis!X169</f>
        <v>11270840.49</v>
      </c>
      <c r="AA231" s="172">
        <f t="shared" si="272"/>
        <v>0.97770533880992549</v>
      </c>
      <c r="AB231" s="172">
        <f t="shared" si="273"/>
        <v>0</v>
      </c>
      <c r="AC231" s="172">
        <f t="shared" si="274"/>
        <v>0</v>
      </c>
      <c r="AD231" s="171">
        <f>Pasākumu_līmenis!AB169</f>
        <v>0</v>
      </c>
      <c r="AE231" s="171">
        <v>11270840.49</v>
      </c>
      <c r="AF231" s="172">
        <v>0.97770533880992549</v>
      </c>
      <c r="AG231" s="171">
        <f>Pasākumu_līmenis!AE169</f>
        <v>11270840.49</v>
      </c>
      <c r="AH231" s="172">
        <f t="shared" si="275"/>
        <v>0.97770533880992549</v>
      </c>
      <c r="AI231" s="172">
        <f t="shared" si="276"/>
        <v>0</v>
      </c>
      <c r="AJ231" s="172">
        <f t="shared" si="277"/>
        <v>0</v>
      </c>
      <c r="AK231" s="171">
        <v>11270840.49</v>
      </c>
      <c r="AL231" s="172">
        <v>0.97770533880992549</v>
      </c>
    </row>
    <row r="232" spans="1:38" ht="59.25" customHeight="1" x14ac:dyDescent="0.3">
      <c r="A232" s="265" t="s">
        <v>1521</v>
      </c>
      <c r="B232" s="256" t="str">
        <f>VLOOKUP(A232,saīsinājumi_LV_ENG!A:G,5,FALSE)</f>
        <v>Atveseļošanas pasākumi veselības nozarē (ESF)</v>
      </c>
      <c r="C232" s="12"/>
      <c r="D232" s="12"/>
      <c r="E232" s="44" t="str">
        <f>Pasākumu_līmenis!D170</f>
        <v>ReactEU ESF</v>
      </c>
      <c r="F232" s="44" t="str">
        <f>Pasākumu_līmenis!E170</f>
        <v>VM</v>
      </c>
      <c r="G232" s="279"/>
      <c r="H232" s="171">
        <f>Pasākumu_līmenis!F170</f>
        <v>4259331</v>
      </c>
      <c r="I232" s="171">
        <f>Pasākumu_līmenis!G170</f>
        <v>0</v>
      </c>
      <c r="J232" s="171">
        <f>Pasākumu_līmenis!H170</f>
        <v>4259331</v>
      </c>
      <c r="K232" s="171">
        <f>Pasākumu_līmenis!I170</f>
        <v>0</v>
      </c>
      <c r="L232" s="171">
        <f>Pasākumu_līmenis!J170</f>
        <v>4259331</v>
      </c>
      <c r="M232" s="172">
        <f>IFERROR(L232/$H232,0)</f>
        <v>1</v>
      </c>
      <c r="N232" s="172">
        <f t="shared" ref="N232:N234" si="278">M232-R232</f>
        <v>0</v>
      </c>
      <c r="O232" s="172">
        <f t="shared" ref="O232:O234" si="279">IFERROR(((L232-Q232)/Q232),0)</f>
        <v>0</v>
      </c>
      <c r="P232" s="171">
        <f>Pasākumu_līmenis!N170</f>
        <v>0</v>
      </c>
      <c r="Q232" s="171">
        <v>4259331</v>
      </c>
      <c r="R232" s="172">
        <v>1</v>
      </c>
      <c r="S232" s="171">
        <f>Pasākumu_līmenis!Q170</f>
        <v>4259331</v>
      </c>
      <c r="T232" s="172">
        <f>IFERROR(S232/$H232,0)</f>
        <v>1</v>
      </c>
      <c r="U232" s="172">
        <f t="shared" ref="U232:U234" si="280">T232-Y232</f>
        <v>0</v>
      </c>
      <c r="V232" s="172">
        <f t="shared" ref="V232:V234" si="281">IFERROR(((S232-X232)/X232),0)</f>
        <v>0</v>
      </c>
      <c r="W232" s="171">
        <f>Pasākumu_līmenis!U170</f>
        <v>0</v>
      </c>
      <c r="X232" s="171">
        <v>4259331</v>
      </c>
      <c r="Y232" s="172">
        <v>1</v>
      </c>
      <c r="Z232" s="171">
        <f>Pasākumu_līmenis!X170</f>
        <v>4259331</v>
      </c>
      <c r="AA232" s="172">
        <f>IFERROR(Z232/$H232,0)</f>
        <v>1</v>
      </c>
      <c r="AB232" s="172">
        <f t="shared" ref="AB232" si="282">AA232-AF232</f>
        <v>0</v>
      </c>
      <c r="AC232" s="172">
        <f t="shared" ref="AC232" si="283">IFERROR(((Z232-AE232)/AE232),0)</f>
        <v>0</v>
      </c>
      <c r="AD232" s="171">
        <f>Pasākumu_līmenis!AB170</f>
        <v>0</v>
      </c>
      <c r="AE232" s="171">
        <v>4259331</v>
      </c>
      <c r="AF232" s="172">
        <v>1</v>
      </c>
      <c r="AG232" s="171">
        <f>Pasākumu_līmenis!AE170</f>
        <v>4259331</v>
      </c>
      <c r="AH232" s="172">
        <f>IFERROR(AG232/$H232,0)</f>
        <v>1</v>
      </c>
      <c r="AI232" s="172">
        <f t="shared" ref="AI232" si="284">AH232-AL232</f>
        <v>0</v>
      </c>
      <c r="AJ232" s="172">
        <f t="shared" ref="AJ232" si="285">IFERROR(((AG232-AK232)/AK232),0)</f>
        <v>0</v>
      </c>
      <c r="AK232" s="171">
        <v>4259331</v>
      </c>
      <c r="AL232" s="172">
        <v>1</v>
      </c>
    </row>
    <row r="233" spans="1:38" ht="76.5" customHeight="1" x14ac:dyDescent="0.3">
      <c r="A233" s="249" t="s">
        <v>1602</v>
      </c>
      <c r="B233" s="250" t="s">
        <v>1603</v>
      </c>
      <c r="C233" s="10"/>
      <c r="D233" s="227"/>
      <c r="E233" s="68"/>
      <c r="F233" s="68"/>
      <c r="G233" s="281">
        <f t="shared" ref="G233:L233" si="286">G234</f>
        <v>60000000</v>
      </c>
      <c r="H233" s="228">
        <f t="shared" si="286"/>
        <v>0</v>
      </c>
      <c r="I233" s="228">
        <f t="shared" si="286"/>
        <v>60000000</v>
      </c>
      <c r="J233" s="228">
        <f t="shared" si="286"/>
        <v>60000000</v>
      </c>
      <c r="K233" s="228">
        <f t="shared" si="286"/>
        <v>1</v>
      </c>
      <c r="L233" s="228">
        <f t="shared" si="286"/>
        <v>60000000</v>
      </c>
      <c r="M233" s="229">
        <f t="shared" ref="M233:M234" si="287">IFERROR(L233/$H233,0)</f>
        <v>0</v>
      </c>
      <c r="N233" s="229">
        <f t="shared" si="278"/>
        <v>0</v>
      </c>
      <c r="O233" s="229">
        <f t="shared" si="279"/>
        <v>0</v>
      </c>
      <c r="P233" s="228">
        <f>P234</f>
        <v>1</v>
      </c>
      <c r="Q233" s="177">
        <v>60000000</v>
      </c>
      <c r="R233" s="178">
        <v>0</v>
      </c>
      <c r="S233" s="228">
        <f>S234</f>
        <v>60000000</v>
      </c>
      <c r="T233" s="229">
        <f t="shared" ref="T233:T234" si="288">IFERROR(S233/$H233,0)</f>
        <v>0</v>
      </c>
      <c r="U233" s="229">
        <f t="shared" si="280"/>
        <v>0</v>
      </c>
      <c r="V233" s="229">
        <f t="shared" si="281"/>
        <v>0</v>
      </c>
      <c r="W233" s="228">
        <f>W234</f>
        <v>1</v>
      </c>
      <c r="X233" s="228">
        <v>60000000</v>
      </c>
      <c r="Y233" s="229">
        <v>0</v>
      </c>
      <c r="Z233" s="228">
        <f>Z234</f>
        <v>60000000</v>
      </c>
      <c r="AA233" s="229">
        <f t="shared" ref="AA233:AA234" si="289">IFERROR(Z233/$H233,0)</f>
        <v>0</v>
      </c>
      <c r="AB233" s="229">
        <f t="shared" ref="AB233:AB234" si="290">AA233-AF233</f>
        <v>0</v>
      </c>
      <c r="AC233" s="229">
        <f t="shared" ref="AC233:AC234" si="291">IFERROR(((Z233-AE233)/AE233),0)</f>
        <v>0</v>
      </c>
      <c r="AD233" s="228">
        <f>AD234</f>
        <v>1</v>
      </c>
      <c r="AE233" s="177">
        <v>60000000</v>
      </c>
      <c r="AF233" s="178">
        <v>0</v>
      </c>
      <c r="AG233" s="228">
        <f>AG234</f>
        <v>60000000</v>
      </c>
      <c r="AH233" s="229">
        <f t="shared" ref="AH233:AH234" si="292">IFERROR(AG233/$H233,0)</f>
        <v>0</v>
      </c>
      <c r="AI233" s="229">
        <f t="shared" ref="AI233:AI234" si="293">AH233-AL233</f>
        <v>0</v>
      </c>
      <c r="AJ233" s="229">
        <f t="shared" ref="AJ233:AJ234" si="294">IFERROR(((AG233-AK233)/AK233),0)</f>
        <v>0</v>
      </c>
      <c r="AK233" s="228">
        <v>60000000</v>
      </c>
      <c r="AL233" s="229">
        <v>0</v>
      </c>
    </row>
    <row r="234" spans="1:38" ht="59.25" customHeight="1" x14ac:dyDescent="0.3">
      <c r="A234" s="265" t="str">
        <f>Pasākumu_līmenis!A172</f>
        <v>15.1.1</v>
      </c>
      <c r="B234" s="256" t="str">
        <f>Pasākumu_līmenis!B172</f>
        <v>Atbalsta pasākumi centralizētās siltumapgādes jomā</v>
      </c>
      <c r="C234" s="12"/>
      <c r="D234" s="12"/>
      <c r="E234" s="44" t="str">
        <f>Pasākumu_līmenis!D172</f>
        <v>KF</v>
      </c>
      <c r="F234" s="44" t="str">
        <f>Pasākumu_līmenis!E172</f>
        <v>EM</v>
      </c>
      <c r="G234" s="279">
        <f>Pasākumu_līmenis!G172</f>
        <v>60000000</v>
      </c>
      <c r="H234" s="171">
        <f>Pasākumu_līmenis!F172</f>
        <v>0</v>
      </c>
      <c r="I234" s="171">
        <f>Pasākumu_līmenis!G172</f>
        <v>60000000</v>
      </c>
      <c r="J234" s="171">
        <f>Pasākumu_līmenis!H172</f>
        <v>60000000</v>
      </c>
      <c r="K234" s="171">
        <f>Pasākumu_līmenis!K172</f>
        <v>1</v>
      </c>
      <c r="L234" s="171">
        <f>Pasākumu_līmenis!J172</f>
        <v>60000000</v>
      </c>
      <c r="M234" s="172">
        <f t="shared" si="287"/>
        <v>0</v>
      </c>
      <c r="N234" s="172">
        <f t="shared" si="278"/>
        <v>0</v>
      </c>
      <c r="O234" s="172">
        <f t="shared" si="279"/>
        <v>0</v>
      </c>
      <c r="P234" s="171">
        <f>Pasākumu_līmenis!N172</f>
        <v>1</v>
      </c>
      <c r="Q234" s="171">
        <v>60000000</v>
      </c>
      <c r="R234" s="172">
        <v>0</v>
      </c>
      <c r="S234" s="171">
        <f>Pasākumu_līmenis!Q172</f>
        <v>60000000</v>
      </c>
      <c r="T234" s="172">
        <f t="shared" si="288"/>
        <v>0</v>
      </c>
      <c r="U234" s="172">
        <f t="shared" si="280"/>
        <v>0</v>
      </c>
      <c r="V234" s="172">
        <f t="shared" si="281"/>
        <v>0</v>
      </c>
      <c r="W234" s="171">
        <f>Pasākumu_līmenis!U172</f>
        <v>1</v>
      </c>
      <c r="X234" s="171">
        <v>60000000</v>
      </c>
      <c r="Y234" s="172">
        <v>0</v>
      </c>
      <c r="Z234" s="171">
        <f>Pasākumu_līmenis!X172</f>
        <v>60000000</v>
      </c>
      <c r="AA234" s="172">
        <f t="shared" si="289"/>
        <v>0</v>
      </c>
      <c r="AB234" s="172">
        <f t="shared" si="290"/>
        <v>0</v>
      </c>
      <c r="AC234" s="172">
        <f t="shared" si="291"/>
        <v>0</v>
      </c>
      <c r="AD234" s="171">
        <f>Pasākumu_līmenis!AB172</f>
        <v>1</v>
      </c>
      <c r="AE234" s="171">
        <v>60000000</v>
      </c>
      <c r="AF234" s="172">
        <v>0</v>
      </c>
      <c r="AG234" s="171">
        <f>Pasākumu_līmenis!AE172</f>
        <v>60000000</v>
      </c>
      <c r="AH234" s="172">
        <f t="shared" si="292"/>
        <v>0</v>
      </c>
      <c r="AI234" s="172">
        <f t="shared" si="293"/>
        <v>0</v>
      </c>
      <c r="AJ234" s="172">
        <f t="shared" si="294"/>
        <v>0</v>
      </c>
      <c r="AK234" s="171">
        <v>60000000</v>
      </c>
      <c r="AL234" s="172">
        <v>0</v>
      </c>
    </row>
    <row r="235" spans="1:38" ht="59.25" customHeight="1" x14ac:dyDescent="0.3">
      <c r="A235" s="249" t="s">
        <v>1282</v>
      </c>
      <c r="B235" s="250" t="s">
        <v>1281</v>
      </c>
      <c r="C235" s="10" t="s">
        <v>1282</v>
      </c>
      <c r="D235" s="227">
        <v>4</v>
      </c>
      <c r="E235" s="68" t="s">
        <v>1283</v>
      </c>
      <c r="F235" s="68" t="s">
        <v>1282</v>
      </c>
      <c r="G235" s="281" t="s">
        <v>1282</v>
      </c>
      <c r="H235" s="228">
        <f>SUM(Pasākumu_līmenis!F175:F178)</f>
        <v>9238922</v>
      </c>
      <c r="I235" s="228">
        <f>SUM(Pasākumu_līmenis!G175:G178)</f>
        <v>-7399760</v>
      </c>
      <c r="J235" s="228">
        <f>H235+I235</f>
        <v>1839162</v>
      </c>
      <c r="K235" s="228" t="s">
        <v>1282</v>
      </c>
      <c r="L235" s="228" t="s">
        <v>1282</v>
      </c>
      <c r="M235" s="229" t="s">
        <v>1282</v>
      </c>
      <c r="N235" s="229" t="s">
        <v>1282</v>
      </c>
      <c r="O235" s="229" t="s">
        <v>1282</v>
      </c>
      <c r="P235" s="228" t="s">
        <v>1282</v>
      </c>
      <c r="Q235" s="177" t="s">
        <v>1282</v>
      </c>
      <c r="R235" s="178" t="s">
        <v>1282</v>
      </c>
      <c r="S235" s="228" t="s">
        <v>1282</v>
      </c>
      <c r="T235" s="229" t="s">
        <v>1282</v>
      </c>
      <c r="U235" s="229" t="s">
        <v>1282</v>
      </c>
      <c r="V235" s="229" t="s">
        <v>1282</v>
      </c>
      <c r="W235" s="228" t="s">
        <v>1282</v>
      </c>
      <c r="X235" s="177" t="s">
        <v>1282</v>
      </c>
      <c r="Y235" s="178" t="s">
        <v>1282</v>
      </c>
      <c r="Z235" s="228" t="s">
        <v>1282</v>
      </c>
      <c r="AA235" s="229" t="s">
        <v>1282</v>
      </c>
      <c r="AB235" s="229" t="s">
        <v>1282</v>
      </c>
      <c r="AC235" s="229" t="s">
        <v>1282</v>
      </c>
      <c r="AD235" s="228" t="s">
        <v>1282</v>
      </c>
      <c r="AE235" s="177" t="s">
        <v>1282</v>
      </c>
      <c r="AF235" s="178" t="s">
        <v>1282</v>
      </c>
      <c r="AG235" s="228" t="s">
        <v>1282</v>
      </c>
      <c r="AH235" s="229" t="s">
        <v>1282</v>
      </c>
      <c r="AI235" s="229" t="s">
        <v>1282</v>
      </c>
      <c r="AJ235" s="229" t="s">
        <v>1282</v>
      </c>
      <c r="AK235" s="37" t="s">
        <v>1282</v>
      </c>
      <c r="AL235" s="33" t="s">
        <v>1282</v>
      </c>
    </row>
    <row r="236" spans="1:38" ht="59.25" customHeight="1" x14ac:dyDescent="0.3">
      <c r="A236" s="249" t="s">
        <v>1282</v>
      </c>
      <c r="B236" s="250" t="s">
        <v>1352</v>
      </c>
      <c r="C236" s="10"/>
      <c r="D236" s="227"/>
      <c r="E236" s="68" t="s">
        <v>1375</v>
      </c>
      <c r="F236" s="68" t="s">
        <v>1282</v>
      </c>
      <c r="G236" s="281"/>
      <c r="H236" s="228">
        <f>Pasākumu_līmenis!F179</f>
        <v>2524642</v>
      </c>
      <c r="I236" s="228">
        <f>Pasākumu_līmenis!G179</f>
        <v>0</v>
      </c>
      <c r="J236" s="228">
        <f>H236</f>
        <v>2524642</v>
      </c>
      <c r="K236" s="228">
        <v>0</v>
      </c>
      <c r="L236" s="228" t="s">
        <v>1282</v>
      </c>
      <c r="M236" s="228" t="s">
        <v>1282</v>
      </c>
      <c r="N236" s="228" t="s">
        <v>1282</v>
      </c>
      <c r="O236" s="228" t="s">
        <v>1282</v>
      </c>
      <c r="P236" s="228" t="s">
        <v>1282</v>
      </c>
      <c r="Q236" s="228" t="s">
        <v>1282</v>
      </c>
      <c r="R236" s="228" t="s">
        <v>1282</v>
      </c>
      <c r="S236" s="228" t="s">
        <v>1282</v>
      </c>
      <c r="T236" s="228" t="s">
        <v>1282</v>
      </c>
      <c r="U236" s="228" t="s">
        <v>1282</v>
      </c>
      <c r="V236" s="228" t="s">
        <v>1282</v>
      </c>
      <c r="W236" s="228" t="s">
        <v>1282</v>
      </c>
      <c r="X236" s="228" t="s">
        <v>1282</v>
      </c>
      <c r="Y236" s="228" t="s">
        <v>1282</v>
      </c>
      <c r="Z236" s="228" t="s">
        <v>1282</v>
      </c>
      <c r="AA236" s="228" t="s">
        <v>1282</v>
      </c>
      <c r="AB236" s="228" t="s">
        <v>1282</v>
      </c>
      <c r="AC236" s="228" t="s">
        <v>1282</v>
      </c>
      <c r="AD236" s="228" t="s">
        <v>1282</v>
      </c>
      <c r="AE236" s="228" t="s">
        <v>1282</v>
      </c>
      <c r="AF236" s="228" t="s">
        <v>1282</v>
      </c>
      <c r="AG236" s="228" t="s">
        <v>1282</v>
      </c>
      <c r="AH236" s="228" t="s">
        <v>1282</v>
      </c>
      <c r="AI236" s="228" t="s">
        <v>1282</v>
      </c>
      <c r="AJ236" s="228" t="s">
        <v>1282</v>
      </c>
      <c r="AK236" s="37" t="s">
        <v>1282</v>
      </c>
      <c r="AL236" s="33" t="s">
        <v>1282</v>
      </c>
    </row>
    <row r="237" spans="1:38" ht="59.25" customHeight="1" x14ac:dyDescent="0.3">
      <c r="A237" s="249" t="s">
        <v>1282</v>
      </c>
      <c r="B237" s="250" t="s">
        <v>1352</v>
      </c>
      <c r="C237" s="10"/>
      <c r="D237" s="227">
        <v>6</v>
      </c>
      <c r="E237" s="68" t="s">
        <v>1525</v>
      </c>
      <c r="F237" s="68" t="s">
        <v>1282</v>
      </c>
      <c r="G237" s="281"/>
      <c r="H237" s="228">
        <f>Pasākumu_līmenis!F180</f>
        <v>0</v>
      </c>
      <c r="I237" s="228">
        <f>Pasākumu_līmenis!G180</f>
        <v>0</v>
      </c>
      <c r="J237" s="228">
        <f>H237</f>
        <v>0</v>
      </c>
      <c r="K237" s="228">
        <v>0</v>
      </c>
      <c r="L237" s="228" t="s">
        <v>1282</v>
      </c>
      <c r="M237" s="228" t="s">
        <v>1282</v>
      </c>
      <c r="N237" s="228" t="s">
        <v>1282</v>
      </c>
      <c r="O237" s="228" t="s">
        <v>1282</v>
      </c>
      <c r="P237" s="228" t="s">
        <v>1282</v>
      </c>
      <c r="Q237" s="228" t="s">
        <v>1282</v>
      </c>
      <c r="R237" s="228" t="s">
        <v>1282</v>
      </c>
      <c r="S237" s="228" t="s">
        <v>1282</v>
      </c>
      <c r="T237" s="228" t="s">
        <v>1282</v>
      </c>
      <c r="U237" s="228" t="s">
        <v>1282</v>
      </c>
      <c r="V237" s="228" t="s">
        <v>1282</v>
      </c>
      <c r="W237" s="228" t="s">
        <v>1282</v>
      </c>
      <c r="X237" s="228" t="s">
        <v>1282</v>
      </c>
      <c r="Y237" s="228" t="s">
        <v>1282</v>
      </c>
      <c r="Z237" s="228" t="s">
        <v>1282</v>
      </c>
      <c r="AA237" s="228" t="s">
        <v>1282</v>
      </c>
      <c r="AB237" s="228" t="s">
        <v>1282</v>
      </c>
      <c r="AC237" s="228" t="s">
        <v>1282</v>
      </c>
      <c r="AD237" s="228" t="s">
        <v>1282</v>
      </c>
      <c r="AE237" s="228" t="s">
        <v>1282</v>
      </c>
      <c r="AF237" s="228" t="s">
        <v>1282</v>
      </c>
      <c r="AG237" s="228" t="s">
        <v>1282</v>
      </c>
      <c r="AH237" s="228" t="s">
        <v>1282</v>
      </c>
      <c r="AI237" s="228" t="s">
        <v>1282</v>
      </c>
      <c r="AJ237" s="228" t="s">
        <v>1282</v>
      </c>
      <c r="AK237" s="37" t="s">
        <v>1282</v>
      </c>
      <c r="AL237" s="33" t="s">
        <v>1282</v>
      </c>
    </row>
    <row r="238" spans="1:38" x14ac:dyDescent="0.3">
      <c r="A238" s="136"/>
      <c r="B238" s="136"/>
      <c r="C238" s="137"/>
      <c r="D238" s="137"/>
      <c r="E238" s="137"/>
      <c r="F238" s="137"/>
      <c r="G238" s="137"/>
      <c r="H238" s="137"/>
      <c r="I238" s="137"/>
      <c r="J238" s="137"/>
      <c r="K238" s="137"/>
      <c r="L238" s="137"/>
      <c r="M238" s="137"/>
      <c r="N238" s="137"/>
      <c r="O238" s="137"/>
      <c r="P238" s="137"/>
      <c r="Q238" s="138"/>
      <c r="R238" s="137"/>
      <c r="S238" s="137"/>
      <c r="T238" s="137"/>
    </row>
    <row r="239" spans="1:38" x14ac:dyDescent="0.3">
      <c r="A239" s="497" t="s">
        <v>461</v>
      </c>
      <c r="B239" s="497"/>
      <c r="C239" s="497"/>
      <c r="D239" s="497"/>
      <c r="E239" s="497"/>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row>
    <row r="240" spans="1:38" x14ac:dyDescent="0.3">
      <c r="A240" s="497"/>
      <c r="B240" s="497"/>
      <c r="C240" s="497"/>
      <c r="D240" s="497"/>
      <c r="E240" s="497"/>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row>
    <row r="241" spans="1:38" x14ac:dyDescent="0.3">
      <c r="A241" s="497"/>
      <c r="B241" s="497"/>
      <c r="C241" s="497"/>
      <c r="D241" s="497"/>
      <c r="E241" s="497"/>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row>
    <row r="242" spans="1:38" x14ac:dyDescent="0.3">
      <c r="A242" s="497"/>
      <c r="B242" s="497"/>
      <c r="C242" s="497"/>
      <c r="D242" s="497"/>
      <c r="E242" s="497"/>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row>
    <row r="243" spans="1:38" ht="16.5" customHeight="1" x14ac:dyDescent="0.3">
      <c r="A243" s="139"/>
      <c r="B243" s="139"/>
      <c r="C243" s="139"/>
      <c r="D243" s="139"/>
      <c r="E243" s="139"/>
      <c r="F243" s="139"/>
      <c r="G243" s="139"/>
      <c r="H243" s="139"/>
      <c r="I243" s="139"/>
      <c r="J243" s="139"/>
      <c r="K243" s="139"/>
      <c r="L243" s="139"/>
      <c r="M243" s="139"/>
      <c r="N243" s="139"/>
      <c r="O243" s="139"/>
      <c r="P243" s="139"/>
      <c r="Q243" s="139"/>
      <c r="R243" s="139"/>
      <c r="S243" s="139"/>
      <c r="T243" s="139"/>
      <c r="U243" s="139"/>
      <c r="V243" s="139"/>
      <c r="W243" s="139"/>
      <c r="X243" s="139"/>
      <c r="Y243" s="139"/>
      <c r="Z243" s="139"/>
      <c r="AA243" s="139"/>
      <c r="AB243" s="139"/>
      <c r="AC243" s="139"/>
    </row>
    <row r="244" spans="1:38" x14ac:dyDescent="0.3">
      <c r="C244" s="137"/>
      <c r="D244" s="137"/>
      <c r="E244" s="137"/>
      <c r="F244" s="137"/>
      <c r="G244" s="137"/>
      <c r="H244" s="137"/>
      <c r="I244" s="137"/>
      <c r="J244" s="137"/>
      <c r="K244" s="137"/>
      <c r="L244" s="137"/>
      <c r="M244" s="137"/>
      <c r="N244" s="137"/>
      <c r="O244" s="137"/>
      <c r="P244" s="137"/>
      <c r="Q244" s="138"/>
      <c r="R244" s="137"/>
      <c r="S244" s="137"/>
      <c r="T244" s="137"/>
      <c r="X244" s="3"/>
      <c r="Y244" s="55"/>
      <c r="Z244" s="25"/>
      <c r="AF244" s="55"/>
      <c r="AK244" s="57"/>
      <c r="AL244" s="55"/>
    </row>
    <row r="245" spans="1:38" x14ac:dyDescent="0.3">
      <c r="A245" s="294" t="s">
        <v>1289</v>
      </c>
      <c r="B245" s="295"/>
      <c r="C245" s="295"/>
      <c r="D245" s="295"/>
      <c r="E245" s="295"/>
      <c r="F245" s="295"/>
      <c r="G245" s="295"/>
      <c r="H245" s="295"/>
      <c r="I245" s="295"/>
      <c r="J245" s="295"/>
      <c r="K245" s="295"/>
      <c r="L245" s="295"/>
      <c r="M245" s="137"/>
      <c r="N245" s="137"/>
      <c r="O245" s="137"/>
      <c r="P245" s="137"/>
      <c r="Q245" s="138"/>
      <c r="S245" s="137"/>
      <c r="T245" s="137"/>
    </row>
    <row r="246" spans="1:38" x14ac:dyDescent="0.3">
      <c r="A246" s="294" t="s">
        <v>1290</v>
      </c>
      <c r="B246" s="295"/>
      <c r="C246" s="295"/>
      <c r="D246" s="295"/>
      <c r="E246" s="295"/>
      <c r="F246" s="295"/>
      <c r="G246" s="295"/>
      <c r="H246" s="295"/>
      <c r="I246" s="295"/>
      <c r="J246" s="295"/>
      <c r="K246" s="295"/>
      <c r="L246" s="295"/>
      <c r="M246" s="293"/>
      <c r="N246" s="293"/>
      <c r="O246" s="293"/>
      <c r="P246" s="293"/>
      <c r="Q246" s="293"/>
      <c r="S246" s="293"/>
      <c r="T246" s="293"/>
      <c r="U246" s="293"/>
      <c r="V246" s="293"/>
      <c r="W246" s="293"/>
      <c r="X246" s="293"/>
      <c r="Y246" s="293"/>
      <c r="Z246" s="293"/>
      <c r="AA246" s="293"/>
      <c r="AB246" s="293"/>
      <c r="AC246" s="293"/>
      <c r="AD246" s="293"/>
      <c r="AE246" s="293"/>
      <c r="AF246" s="293"/>
      <c r="AG246" s="293"/>
      <c r="AH246" s="293"/>
      <c r="AI246" s="293"/>
      <c r="AJ246" s="293"/>
    </row>
    <row r="247" spans="1:38" x14ac:dyDescent="0.3">
      <c r="A247" s="19" t="s">
        <v>1291</v>
      </c>
      <c r="C247" s="19"/>
      <c r="D247" s="19"/>
      <c r="E247" s="19"/>
      <c r="F247" s="19"/>
      <c r="G247" s="19"/>
      <c r="H247" s="19"/>
      <c r="I247" s="19"/>
      <c r="J247" s="19"/>
      <c r="K247" s="19"/>
      <c r="L247" s="19"/>
      <c r="M247" s="19"/>
      <c r="N247" s="19"/>
      <c r="O247" s="19"/>
      <c r="P247" s="19"/>
      <c r="Q247" s="19"/>
      <c r="S247" s="19"/>
      <c r="T247" s="19"/>
      <c r="U247" s="19"/>
      <c r="V247" s="19"/>
      <c r="W247" s="19"/>
      <c r="X247" s="19"/>
      <c r="Y247" s="19"/>
      <c r="Z247" s="19"/>
      <c r="AA247" s="19"/>
      <c r="AB247" s="19"/>
      <c r="AC247" s="19"/>
      <c r="AD247" s="19"/>
      <c r="AE247" s="19"/>
      <c r="AF247" s="19"/>
      <c r="AG247" s="19"/>
      <c r="AH247" s="19"/>
      <c r="AI247" s="19"/>
      <c r="AJ247" s="19"/>
    </row>
    <row r="248" spans="1:38" ht="18.75" customHeight="1" x14ac:dyDescent="0.3">
      <c r="A248" s="19" t="s">
        <v>1313</v>
      </c>
      <c r="B248" s="306"/>
      <c r="C248" s="306"/>
      <c r="D248" s="306"/>
      <c r="E248" s="306"/>
      <c r="F248" s="306"/>
      <c r="G248" s="306"/>
      <c r="H248" s="306"/>
      <c r="I248" s="306"/>
      <c r="J248" s="306"/>
      <c r="K248" s="306"/>
      <c r="L248" s="306"/>
      <c r="M248" s="306"/>
      <c r="N248" s="306"/>
      <c r="O248" s="306"/>
      <c r="P248" s="306"/>
      <c r="Q248" s="307"/>
      <c r="R248" s="306"/>
      <c r="S248" s="137"/>
      <c r="T248" s="137"/>
    </row>
    <row r="249" spans="1:38" x14ac:dyDescent="0.3">
      <c r="A249" s="136" t="s">
        <v>1347</v>
      </c>
    </row>
    <row r="250" spans="1:38" x14ac:dyDescent="0.3">
      <c r="A250" s="19" t="s">
        <v>1553</v>
      </c>
    </row>
    <row r="251" spans="1:38" x14ac:dyDescent="0.3">
      <c r="A251" s="19" t="s">
        <v>1579</v>
      </c>
    </row>
  </sheetData>
  <autoFilter ref="A15:AL362" xr:uid="{00000000-0009-0000-0000-000001000000}"/>
  <sortState xmlns:xlrd2="http://schemas.microsoft.com/office/spreadsheetml/2017/richdata2" ref="A53:B54">
    <sortCondition ref="A53"/>
  </sortState>
  <mergeCells count="8">
    <mergeCell ref="D1:AJ1"/>
    <mergeCell ref="A239:AC242"/>
    <mergeCell ref="A3:F3"/>
    <mergeCell ref="AG3:AL3"/>
    <mergeCell ref="S3:Y3"/>
    <mergeCell ref="Z3:AF3"/>
    <mergeCell ref="L3:R3"/>
    <mergeCell ref="H3:K3"/>
  </mergeCells>
  <phoneticPr fontId="69" type="noConversion"/>
  <pageMargins left="0.25" right="0.25" top="0.75" bottom="0.75" header="0.3" footer="0.3"/>
  <pageSetup paperSize="9" scale="30" fitToHeight="0" orientation="landscape" r:id="rId1"/>
  <headerFooter>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4" tint="0.59999389629810485"/>
    <pageSetUpPr fitToPage="1"/>
  </sheetPr>
  <dimension ref="A1:AA62"/>
  <sheetViews>
    <sheetView zoomScale="70" zoomScaleNormal="70" workbookViewId="0">
      <selection activeCell="C1" sqref="C1:Y1"/>
    </sheetView>
  </sheetViews>
  <sheetFormatPr defaultRowHeight="15" x14ac:dyDescent="0.25"/>
  <cols>
    <col min="2" max="2" width="64" customWidth="1"/>
    <col min="3" max="3" width="21.5703125" customWidth="1"/>
    <col min="4" max="4" width="19.5703125" customWidth="1"/>
    <col min="5" max="5" width="21.5703125" customWidth="1"/>
    <col min="6" max="6" width="21.5703125" hidden="1" customWidth="1"/>
    <col min="7" max="7" width="21.5703125" customWidth="1"/>
    <col min="8" max="8" width="19.5703125" style="108" customWidth="1"/>
    <col min="9" max="9" width="16.42578125" style="108" customWidth="1"/>
    <col min="10" max="10" width="14" style="108" customWidth="1"/>
    <col min="11" max="11" width="10.5703125" customWidth="1"/>
    <col min="12" max="12" width="24.42578125" customWidth="1"/>
    <col min="13" max="13" width="19.5703125" style="108" customWidth="1"/>
    <col min="14" max="14" width="16.5703125" style="108" customWidth="1"/>
    <col min="15" max="15" width="15.42578125" style="108" customWidth="1"/>
    <col min="16" max="16" width="10" customWidth="1"/>
    <col min="17" max="17" width="20.5703125" customWidth="1"/>
    <col min="18" max="18" width="13.42578125" style="108" customWidth="1"/>
    <col min="19" max="19" width="15.5703125" style="108" customWidth="1"/>
    <col min="20" max="20" width="12.5703125" style="108" customWidth="1"/>
    <col min="21" max="21" width="9.42578125" customWidth="1"/>
    <col min="22" max="22" width="22.42578125" bestFit="1" customWidth="1"/>
    <col min="23" max="23" width="12.5703125" style="108" customWidth="1"/>
    <col min="24" max="25" width="15.5703125" style="108" customWidth="1"/>
  </cols>
  <sheetData>
    <row r="1" spans="1:25" ht="25.5" x14ac:dyDescent="0.25">
      <c r="A1" s="267" t="str">
        <f>Pasākumu_līmenis!A2</f>
        <v>Sagatavots 15.01.2026.</v>
      </c>
      <c r="B1" s="143"/>
      <c r="C1" s="496" t="str">
        <f ca="1">Pasākumu_līmenis!A1</f>
        <v>2014.-2020. gada plānošanas perioda ES fondu ieviešanas statuss (ES fondu daļa, EUR) uz 31.12.2025</v>
      </c>
      <c r="D1" s="496"/>
      <c r="E1" s="496"/>
      <c r="F1" s="496"/>
      <c r="G1" s="496"/>
      <c r="H1" s="496"/>
      <c r="I1" s="496"/>
      <c r="J1" s="496"/>
      <c r="K1" s="496"/>
      <c r="L1" s="496"/>
      <c r="M1" s="496"/>
      <c r="N1" s="496"/>
      <c r="O1" s="496"/>
      <c r="P1" s="496"/>
      <c r="Q1" s="496"/>
      <c r="R1" s="496"/>
      <c r="S1" s="496"/>
      <c r="T1" s="496"/>
      <c r="U1" s="496"/>
      <c r="V1" s="496"/>
      <c r="W1" s="496"/>
      <c r="X1" s="496"/>
      <c r="Y1" s="496"/>
    </row>
    <row r="3" spans="1:25" ht="18.75" x14ac:dyDescent="0.3">
      <c r="A3" s="510" t="s">
        <v>154</v>
      </c>
      <c r="B3" s="510"/>
      <c r="C3" s="511" t="s">
        <v>156</v>
      </c>
      <c r="D3" s="512"/>
      <c r="E3" s="512"/>
      <c r="F3" s="513"/>
      <c r="G3" s="511" t="s">
        <v>615</v>
      </c>
      <c r="H3" s="512"/>
      <c r="I3" s="512"/>
      <c r="J3" s="512"/>
      <c r="K3" s="513"/>
      <c r="L3" s="511" t="s">
        <v>413</v>
      </c>
      <c r="M3" s="512"/>
      <c r="N3" s="512"/>
      <c r="O3" s="512"/>
      <c r="P3" s="513"/>
      <c r="Q3" s="511" t="s">
        <v>414</v>
      </c>
      <c r="R3" s="512"/>
      <c r="S3" s="512"/>
      <c r="T3" s="512"/>
      <c r="U3" s="513"/>
      <c r="V3" s="510" t="s">
        <v>155</v>
      </c>
      <c r="W3" s="510"/>
      <c r="X3" s="510"/>
      <c r="Y3" s="510"/>
    </row>
    <row r="4" spans="1:25" ht="118.5" customHeight="1" x14ac:dyDescent="0.25">
      <c r="A4" s="28" t="s">
        <v>3</v>
      </c>
      <c r="B4" s="68" t="s">
        <v>157</v>
      </c>
      <c r="C4" s="68" t="s">
        <v>419</v>
      </c>
      <c r="D4" s="14" t="s">
        <v>158</v>
      </c>
      <c r="E4" s="14" t="s">
        <v>409</v>
      </c>
      <c r="F4" s="14" t="str">
        <f>Pasākumu_līmenis!I4</f>
        <v>Snieguma rezerve atbilstoši MK noteikumiem,
ES fondu finansējums (pēdējo reizi aktualizēta 08.06.2020)</v>
      </c>
      <c r="G4" s="14" t="s">
        <v>406</v>
      </c>
      <c r="H4" s="106" t="s">
        <v>407</v>
      </c>
      <c r="I4" s="106" t="s">
        <v>426</v>
      </c>
      <c r="J4" s="106" t="s">
        <v>460</v>
      </c>
      <c r="K4" s="14" t="s">
        <v>412</v>
      </c>
      <c r="L4" s="14" t="s">
        <v>406</v>
      </c>
      <c r="M4" s="106" t="s">
        <v>407</v>
      </c>
      <c r="N4" s="106" t="s">
        <v>426</v>
      </c>
      <c r="O4" s="106" t="s">
        <v>460</v>
      </c>
      <c r="P4" s="14" t="s">
        <v>412</v>
      </c>
      <c r="Q4" s="14" t="s">
        <v>406</v>
      </c>
      <c r="R4" s="106" t="s">
        <v>407</v>
      </c>
      <c r="S4" s="106" t="s">
        <v>426</v>
      </c>
      <c r="T4" s="106" t="s">
        <v>460</v>
      </c>
      <c r="U4" s="14" t="s">
        <v>412</v>
      </c>
      <c r="V4" s="14" t="s">
        <v>410</v>
      </c>
      <c r="W4" s="106" t="s">
        <v>408</v>
      </c>
      <c r="X4" s="106" t="s">
        <v>426</v>
      </c>
      <c r="Y4" s="106" t="s">
        <v>460</v>
      </c>
    </row>
    <row r="5" spans="1:25" ht="17.25" customHeight="1" x14ac:dyDescent="0.3">
      <c r="A5" s="4" t="s">
        <v>0</v>
      </c>
      <c r="B5" s="4" t="s">
        <v>4</v>
      </c>
      <c r="C5" s="131" t="s">
        <v>12</v>
      </c>
      <c r="D5" s="132" t="s">
        <v>10</v>
      </c>
      <c r="E5" s="132" t="s">
        <v>427</v>
      </c>
      <c r="F5" s="132" t="s">
        <v>614</v>
      </c>
      <c r="G5" s="132" t="s">
        <v>18</v>
      </c>
      <c r="H5" s="107" t="s">
        <v>373</v>
      </c>
      <c r="I5" s="107" t="s">
        <v>22</v>
      </c>
      <c r="J5" s="107" t="s">
        <v>23</v>
      </c>
      <c r="K5" s="90" t="s">
        <v>24</v>
      </c>
      <c r="L5" s="90">
        <v>4</v>
      </c>
      <c r="M5" s="107" t="s">
        <v>374</v>
      </c>
      <c r="N5" s="107" t="s">
        <v>32</v>
      </c>
      <c r="O5" s="107" t="s">
        <v>45</v>
      </c>
      <c r="P5" s="90" t="s">
        <v>47</v>
      </c>
      <c r="Q5" s="90">
        <v>5</v>
      </c>
      <c r="R5" s="107" t="s">
        <v>375</v>
      </c>
      <c r="S5" s="107" t="s">
        <v>53</v>
      </c>
      <c r="T5" s="107" t="s">
        <v>54</v>
      </c>
      <c r="U5" s="90" t="s">
        <v>55</v>
      </c>
      <c r="V5" s="90" t="s">
        <v>71</v>
      </c>
      <c r="W5" s="107" t="s">
        <v>376</v>
      </c>
      <c r="X5" s="107" t="s">
        <v>73</v>
      </c>
      <c r="Y5" s="107" t="s">
        <v>74</v>
      </c>
    </row>
    <row r="6" spans="1:25" ht="33.75" customHeight="1" x14ac:dyDescent="0.3">
      <c r="A6" s="5"/>
      <c r="B6" s="124" t="s">
        <v>227</v>
      </c>
      <c r="C6" s="125">
        <f>Fin_progress!H6</f>
        <v>4640676789</v>
      </c>
      <c r="D6" s="125">
        <f>Fin_progress!I6</f>
        <v>216793929</v>
      </c>
      <c r="E6" s="125">
        <f>Fin_progress!J6</f>
        <v>4857470718</v>
      </c>
      <c r="F6" s="125">
        <f>Fin_progress!K6</f>
        <v>190574922.68716913</v>
      </c>
      <c r="G6" s="125">
        <f>Fin_progress!L6</f>
        <v>4529278138.5799999</v>
      </c>
      <c r="H6" s="126">
        <f>Fin_progress!M6</f>
        <v>0.97599517150514481</v>
      </c>
      <c r="I6" s="126">
        <f>Fin_progress!N6</f>
        <v>0</v>
      </c>
      <c r="J6" s="126">
        <f>Fin_progress!O6</f>
        <v>0</v>
      </c>
      <c r="K6" s="125">
        <f>Fin_progress!P6</f>
        <v>2451</v>
      </c>
      <c r="L6" s="125">
        <f>Fin_progress!S6</f>
        <v>4529278138.5799999</v>
      </c>
      <c r="M6" s="126">
        <f>Fin_progress!T6</f>
        <v>0.97599517150514481</v>
      </c>
      <c r="N6" s="126">
        <f>Fin_progress!U6</f>
        <v>0</v>
      </c>
      <c r="O6" s="126">
        <f>Fin_progress!V6</f>
        <v>0</v>
      </c>
      <c r="P6" s="125">
        <f>Fin_progress!W6</f>
        <v>2451</v>
      </c>
      <c r="Q6" s="125">
        <f>Fin_progress!Z6</f>
        <v>4529278138.5799999</v>
      </c>
      <c r="R6" s="126">
        <f>Fin_progress!AA6</f>
        <v>0.97599517150514481</v>
      </c>
      <c r="S6" s="126">
        <f>Fin_progress!AB6</f>
        <v>0</v>
      </c>
      <c r="T6" s="126">
        <f>Fin_progress!AC6</f>
        <v>0</v>
      </c>
      <c r="U6" s="125">
        <f>Fin_progress!AD6</f>
        <v>2451</v>
      </c>
      <c r="V6" s="125">
        <f>Fin_progress!AG6</f>
        <v>4497693061.5600004</v>
      </c>
      <c r="W6" s="126">
        <f>Fin_progress!AH6</f>
        <v>0.96918903557797431</v>
      </c>
      <c r="X6" s="126">
        <f>Fin_progress!AI6</f>
        <v>-5.4860286888280818E-5</v>
      </c>
      <c r="Y6" s="126">
        <f>Fin_progress!AJ6</f>
        <v>-5.6601116728612401E-5</v>
      </c>
    </row>
    <row r="7" spans="1:25" ht="4.5" customHeight="1" x14ac:dyDescent="0.3">
      <c r="A7" s="119"/>
      <c r="B7" s="121"/>
      <c r="C7" s="191"/>
      <c r="D7" s="191"/>
      <c r="E7" s="191"/>
      <c r="F7" s="191"/>
      <c r="G7" s="191"/>
      <c r="H7" s="192"/>
      <c r="I7" s="192"/>
      <c r="J7" s="192"/>
      <c r="K7" s="192"/>
      <c r="L7" s="192"/>
      <c r="M7" s="192"/>
      <c r="N7" s="192"/>
      <c r="O7" s="192"/>
      <c r="P7" s="192"/>
      <c r="Q7" s="192"/>
      <c r="R7" s="192"/>
      <c r="S7" s="192"/>
      <c r="T7" s="192"/>
      <c r="U7" s="192"/>
      <c r="V7" s="192"/>
      <c r="W7" s="192"/>
      <c r="X7" s="192"/>
      <c r="Y7" s="192"/>
    </row>
    <row r="8" spans="1:25" ht="20.25" x14ac:dyDescent="0.3">
      <c r="A8" s="5"/>
      <c r="B8" s="6" t="s">
        <v>231</v>
      </c>
      <c r="C8" s="183">
        <f>Fin_progress!H8</f>
        <v>675925610</v>
      </c>
      <c r="D8" s="183">
        <f>Fin_progress!I8</f>
        <v>1589796</v>
      </c>
      <c r="E8" s="183">
        <f>Fin_progress!J8</f>
        <v>677515406</v>
      </c>
      <c r="F8" s="183">
        <f>Fin_progress!K8</f>
        <v>18276798.709648199</v>
      </c>
      <c r="G8" s="183">
        <f>Fin_progress!L8</f>
        <v>667741575.72000027</v>
      </c>
      <c r="H8" s="184">
        <f>Fin_progress!M8</f>
        <v>0.98789210800875005</v>
      </c>
      <c r="I8" s="184">
        <f>Fin_progress!N8</f>
        <v>0</v>
      </c>
      <c r="J8" s="184">
        <f>Fin_progress!O8</f>
        <v>0</v>
      </c>
      <c r="K8" s="183">
        <f>Fin_progress!P8</f>
        <v>325</v>
      </c>
      <c r="L8" s="183">
        <f>Fin_progress!S8</f>
        <v>667741575.72000027</v>
      </c>
      <c r="M8" s="184">
        <f>Fin_progress!T8</f>
        <v>0.98789210800875005</v>
      </c>
      <c r="N8" s="184">
        <f>Fin_progress!U8</f>
        <v>0</v>
      </c>
      <c r="O8" s="184">
        <f>Fin_progress!V8</f>
        <v>0</v>
      </c>
      <c r="P8" s="183">
        <f>Fin_progress!W8</f>
        <v>325</v>
      </c>
      <c r="Q8" s="183">
        <f>Fin_progress!Z8</f>
        <v>667741575.72000027</v>
      </c>
      <c r="R8" s="184">
        <f>Fin_progress!AA8</f>
        <v>0.98789210800875005</v>
      </c>
      <c r="S8" s="184">
        <f>Fin_progress!AB8</f>
        <v>0</v>
      </c>
      <c r="T8" s="184">
        <f>Fin_progress!AC8</f>
        <v>0</v>
      </c>
      <c r="U8" s="183">
        <f>Fin_progress!AD8</f>
        <v>325</v>
      </c>
      <c r="V8" s="183">
        <f>Fin_progress!AG8</f>
        <v>667124835.28000021</v>
      </c>
      <c r="W8" s="184">
        <f>Fin_progress!AH8</f>
        <v>0.98697966967104589</v>
      </c>
      <c r="X8" s="184">
        <f>Fin_progress!AI8</f>
        <v>0</v>
      </c>
      <c r="Y8" s="184">
        <f>Fin_progress!AJ8</f>
        <v>0</v>
      </c>
    </row>
    <row r="9" spans="1:25" ht="20.25" x14ac:dyDescent="0.3">
      <c r="A9" s="5"/>
      <c r="B9" s="18" t="s">
        <v>232</v>
      </c>
      <c r="C9" s="183">
        <f>Fin_progress!H9</f>
        <v>29010639</v>
      </c>
      <c r="D9" s="183">
        <f>Fin_progress!I9</f>
        <v>0</v>
      </c>
      <c r="E9" s="183">
        <f>Fin_progress!J9</f>
        <v>29010639</v>
      </c>
      <c r="F9" s="183">
        <f>Fin_progress!K9</f>
        <v>0</v>
      </c>
      <c r="G9" s="183">
        <f>Fin_progress!L9</f>
        <v>28810403.620000001</v>
      </c>
      <c r="H9" s="184">
        <f>Fin_progress!M9</f>
        <v>0.99309786385608401</v>
      </c>
      <c r="I9" s="184">
        <f>Fin_progress!N9</f>
        <v>0</v>
      </c>
      <c r="J9" s="184">
        <f>Fin_progress!O9</f>
        <v>0</v>
      </c>
      <c r="K9" s="183">
        <f>Fin_progress!P9</f>
        <v>2</v>
      </c>
      <c r="L9" s="183">
        <f>Fin_progress!S9</f>
        <v>28810403.620000001</v>
      </c>
      <c r="M9" s="184">
        <f>Fin_progress!T9</f>
        <v>0.99309786385608401</v>
      </c>
      <c r="N9" s="184">
        <f>Fin_progress!U9</f>
        <v>0</v>
      </c>
      <c r="O9" s="184">
        <f>Fin_progress!V9</f>
        <v>0</v>
      </c>
      <c r="P9" s="183">
        <f>Fin_progress!W9</f>
        <v>2</v>
      </c>
      <c r="Q9" s="183">
        <f>Fin_progress!Z9</f>
        <v>28810403.620000001</v>
      </c>
      <c r="R9" s="184">
        <f>Fin_progress!AA9</f>
        <v>0.99309786385608401</v>
      </c>
      <c r="S9" s="184">
        <f>Fin_progress!AB9</f>
        <v>0</v>
      </c>
      <c r="T9" s="184">
        <f>Fin_progress!AC9</f>
        <v>0</v>
      </c>
      <c r="U9" s="183">
        <f>Fin_progress!AD9</f>
        <v>2</v>
      </c>
      <c r="V9" s="183">
        <f>Fin_progress!AG9</f>
        <v>28810403.620000001</v>
      </c>
      <c r="W9" s="184">
        <f>Fin_progress!AH9</f>
        <v>0.99309786385608401</v>
      </c>
      <c r="X9" s="184">
        <f>Fin_progress!AI9</f>
        <v>0</v>
      </c>
      <c r="Y9" s="184">
        <f>Fin_progress!AJ9</f>
        <v>0</v>
      </c>
    </row>
    <row r="10" spans="1:25" ht="20.25" x14ac:dyDescent="0.3">
      <c r="A10" s="5"/>
      <c r="B10" s="6" t="s">
        <v>229</v>
      </c>
      <c r="C10" s="183">
        <f>Fin_progress!H10</f>
        <v>2465883158</v>
      </c>
      <c r="D10" s="183">
        <f>Fin_progress!I10</f>
        <v>27390925</v>
      </c>
      <c r="E10" s="183">
        <f>Fin_progress!J10</f>
        <v>2493274083</v>
      </c>
      <c r="F10" s="183">
        <f>Fin_progress!K10</f>
        <v>104744861.36031561</v>
      </c>
      <c r="G10" s="183">
        <f>Fin_progress!L10</f>
        <v>2345956204.1599998</v>
      </c>
      <c r="H10" s="184">
        <f>Fin_progress!M10</f>
        <v>0.95136551646783252</v>
      </c>
      <c r="I10" s="184">
        <f>Fin_progress!N10</f>
        <v>0</v>
      </c>
      <c r="J10" s="184">
        <f>Fin_progress!O10</f>
        <v>0</v>
      </c>
      <c r="K10" s="183">
        <f>Fin_progress!P10</f>
        <v>1600</v>
      </c>
      <c r="L10" s="183">
        <f>Fin_progress!S10</f>
        <v>2345956204.1599998</v>
      </c>
      <c r="M10" s="184">
        <f>Fin_progress!T10</f>
        <v>0.95136551646783252</v>
      </c>
      <c r="N10" s="184">
        <f>Fin_progress!U10</f>
        <v>0</v>
      </c>
      <c r="O10" s="184">
        <f>Fin_progress!V10</f>
        <v>0</v>
      </c>
      <c r="P10" s="183">
        <f>Fin_progress!W10</f>
        <v>1600</v>
      </c>
      <c r="Q10" s="183">
        <f>Fin_progress!Z10</f>
        <v>2345956204.1599998</v>
      </c>
      <c r="R10" s="184">
        <f>Fin_progress!AA10</f>
        <v>0.95136551646783252</v>
      </c>
      <c r="S10" s="184">
        <f>Fin_progress!AB10</f>
        <v>0</v>
      </c>
      <c r="T10" s="184">
        <f>Fin_progress!AC10</f>
        <v>0</v>
      </c>
      <c r="U10" s="183">
        <f>Fin_progress!AD10</f>
        <v>1600</v>
      </c>
      <c r="V10" s="183">
        <f>Fin_progress!AG10</f>
        <v>2315245571.4000001</v>
      </c>
      <c r="W10" s="184">
        <f>Fin_progress!AH10</f>
        <v>0.93891130400429135</v>
      </c>
      <c r="X10" s="184">
        <f>Fin_progress!AI10</f>
        <v>-5.6571926186910204E-5</v>
      </c>
      <c r="Y10" s="184">
        <f>Fin_progress!AJ10</f>
        <v>-6.0249053920807718E-5</v>
      </c>
    </row>
    <row r="11" spans="1:25" ht="20.25" x14ac:dyDescent="0.3">
      <c r="A11" s="5"/>
      <c r="B11" s="6" t="s">
        <v>230</v>
      </c>
      <c r="C11" s="183">
        <f>Fin_progress!H11</f>
        <v>1238174873</v>
      </c>
      <c r="D11" s="183">
        <f>Fin_progress!I11</f>
        <v>195212967</v>
      </c>
      <c r="E11" s="183">
        <f>Fin_progress!J11</f>
        <v>1433387840</v>
      </c>
      <c r="F11" s="183">
        <f>Fin_progress!K11</f>
        <v>67553262.617205307</v>
      </c>
      <c r="G11" s="183">
        <f>Fin_progress!L11</f>
        <v>1292653271.4099998</v>
      </c>
      <c r="H11" s="184">
        <f>Fin_progress!M11</f>
        <v>1.0439989532964782</v>
      </c>
      <c r="I11" s="184">
        <f>Fin_progress!N11</f>
        <v>0</v>
      </c>
      <c r="J11" s="184">
        <f>Fin_progress!O11</f>
        <v>0</v>
      </c>
      <c r="K11" s="183">
        <f>Fin_progress!P11</f>
        <v>394</v>
      </c>
      <c r="L11" s="183">
        <f>Fin_progress!S11</f>
        <v>1292653271.4099998</v>
      </c>
      <c r="M11" s="184">
        <f>Fin_progress!T11</f>
        <v>1.0439989532964782</v>
      </c>
      <c r="N11" s="184">
        <f>Fin_progress!U11</f>
        <v>0</v>
      </c>
      <c r="O11" s="184">
        <f>Fin_progress!V11</f>
        <v>0</v>
      </c>
      <c r="P11" s="183">
        <f>Fin_progress!W11</f>
        <v>394</v>
      </c>
      <c r="Q11" s="183">
        <f>Fin_progress!Z11</f>
        <v>1292653271.4099998</v>
      </c>
      <c r="R11" s="184">
        <f>Fin_progress!AA11</f>
        <v>1.0439989532964782</v>
      </c>
      <c r="S11" s="184">
        <f>Fin_progress!AB11</f>
        <v>0</v>
      </c>
      <c r="T11" s="184">
        <f>Fin_progress!AC11</f>
        <v>0</v>
      </c>
      <c r="U11" s="183">
        <f>Fin_progress!AD11</f>
        <v>394</v>
      </c>
      <c r="V11" s="183">
        <f>Fin_progress!AG11</f>
        <v>1295013506.5199997</v>
      </c>
      <c r="W11" s="184">
        <f>Fin_progress!AH11</f>
        <v>1.045905174430074</v>
      </c>
      <c r="X11" s="184">
        <f>Fin_progress!AI11</f>
        <v>-9.2950602140096095E-5</v>
      </c>
      <c r="Y11" s="184">
        <f>Fin_progress!AJ11</f>
        <v>-8.8863067643910648E-5</v>
      </c>
    </row>
    <row r="12" spans="1:25" ht="20.25" x14ac:dyDescent="0.3">
      <c r="A12" s="5"/>
      <c r="B12" s="6" t="s">
        <v>1348</v>
      </c>
      <c r="C12" s="183">
        <f>Fin_progress!H12</f>
        <v>199954500</v>
      </c>
      <c r="D12" s="183">
        <f>Fin_progress!I12</f>
        <v>1</v>
      </c>
      <c r="E12" s="183">
        <f>C12+D12</f>
        <v>199954501</v>
      </c>
      <c r="F12" s="183">
        <v>0</v>
      </c>
      <c r="G12" s="183">
        <v>0</v>
      </c>
      <c r="H12" s="183">
        <v>0</v>
      </c>
      <c r="I12" s="183">
        <v>0</v>
      </c>
      <c r="J12" s="183">
        <v>0</v>
      </c>
      <c r="K12" s="183">
        <v>0</v>
      </c>
      <c r="L12" s="183">
        <v>0</v>
      </c>
      <c r="M12" s="183">
        <v>0</v>
      </c>
      <c r="N12" s="183">
        <v>0</v>
      </c>
      <c r="O12" s="183">
        <v>0</v>
      </c>
      <c r="P12" s="183">
        <v>0</v>
      </c>
      <c r="Q12" s="183">
        <v>0</v>
      </c>
      <c r="R12" s="183">
        <v>0</v>
      </c>
      <c r="S12" s="183">
        <v>0</v>
      </c>
      <c r="T12" s="183">
        <v>0</v>
      </c>
      <c r="U12" s="183">
        <v>0</v>
      </c>
      <c r="V12" s="183">
        <v>0</v>
      </c>
      <c r="W12" s="183">
        <v>0</v>
      </c>
      <c r="X12" s="183">
        <v>0</v>
      </c>
      <c r="Y12" s="183">
        <v>0</v>
      </c>
    </row>
    <row r="13" spans="1:25" ht="20.25" x14ac:dyDescent="0.3">
      <c r="A13" s="5"/>
      <c r="B13" s="6" t="s">
        <v>1349</v>
      </c>
      <c r="C13" s="183">
        <f>Fin_progress!H13</f>
        <v>22489087</v>
      </c>
      <c r="D13" s="183">
        <f>Fin_progress!I13</f>
        <v>0</v>
      </c>
      <c r="E13" s="183">
        <f>C13</f>
        <v>22489087</v>
      </c>
      <c r="F13" s="183">
        <v>0</v>
      </c>
      <c r="G13" s="183">
        <v>0</v>
      </c>
      <c r="H13" s="183">
        <v>0</v>
      </c>
      <c r="I13" s="183">
        <v>0</v>
      </c>
      <c r="J13" s="183">
        <v>0</v>
      </c>
      <c r="K13" s="183">
        <v>0</v>
      </c>
      <c r="L13" s="183">
        <v>0</v>
      </c>
      <c r="M13" s="183">
        <v>0</v>
      </c>
      <c r="N13" s="183">
        <v>0</v>
      </c>
      <c r="O13" s="183">
        <v>0</v>
      </c>
      <c r="P13" s="183">
        <v>0</v>
      </c>
      <c r="Q13" s="183">
        <v>0</v>
      </c>
      <c r="R13" s="183">
        <v>0</v>
      </c>
      <c r="S13" s="183">
        <v>0</v>
      </c>
      <c r="T13" s="183">
        <v>0</v>
      </c>
      <c r="U13" s="183">
        <v>0</v>
      </c>
      <c r="V13" s="183">
        <v>0</v>
      </c>
      <c r="W13" s="183">
        <v>0</v>
      </c>
      <c r="X13" s="183">
        <v>0</v>
      </c>
      <c r="Y13" s="183">
        <v>0</v>
      </c>
    </row>
    <row r="14" spans="1:25" ht="5.25" customHeight="1" x14ac:dyDescent="0.3">
      <c r="A14" s="119"/>
      <c r="B14" s="120"/>
      <c r="C14" s="191"/>
      <c r="D14" s="191"/>
      <c r="E14" s="191"/>
      <c r="F14" s="191"/>
      <c r="G14" s="191"/>
      <c r="H14" s="192"/>
      <c r="I14" s="192"/>
      <c r="J14" s="192"/>
      <c r="K14" s="192"/>
      <c r="L14" s="192"/>
      <c r="M14" s="192"/>
      <c r="N14" s="192"/>
      <c r="O14" s="192"/>
      <c r="P14" s="192"/>
      <c r="Q14" s="192"/>
      <c r="R14" s="192"/>
      <c r="S14" s="192"/>
      <c r="T14" s="192"/>
      <c r="U14" s="192"/>
      <c r="V14" s="192"/>
      <c r="W14" s="192"/>
      <c r="X14" s="192"/>
      <c r="Y14" s="192"/>
    </row>
    <row r="15" spans="1:25" ht="45" customHeight="1" x14ac:dyDescent="0.25">
      <c r="A15" s="244" t="s">
        <v>0</v>
      </c>
      <c r="B15" s="245" t="s">
        <v>1</v>
      </c>
      <c r="C15" s="193">
        <f>Fin_progress!H15</f>
        <v>448221139</v>
      </c>
      <c r="D15" s="193">
        <f>Fin_progress!I15</f>
        <v>2927032</v>
      </c>
      <c r="E15" s="193">
        <f>Fin_progress!J15</f>
        <v>451148171</v>
      </c>
      <c r="F15" s="193">
        <f>Fin_progress!K15</f>
        <v>13053849.871961923</v>
      </c>
      <c r="G15" s="193">
        <f>Fin_progress!L15</f>
        <v>419952678.00999999</v>
      </c>
      <c r="H15" s="194">
        <f>Fin_progress!M15</f>
        <v>0.93693188801164506</v>
      </c>
      <c r="I15" s="194">
        <f>Fin_progress!N15</f>
        <v>0</v>
      </c>
      <c r="J15" s="194">
        <f>Fin_progress!O15</f>
        <v>0</v>
      </c>
      <c r="K15" s="193">
        <f>Fin_progress!P15</f>
        <v>330</v>
      </c>
      <c r="L15" s="193">
        <f>Fin_progress!S15</f>
        <v>419952678.00999999</v>
      </c>
      <c r="M15" s="194">
        <f>Fin_progress!T15</f>
        <v>0.93693188801164506</v>
      </c>
      <c r="N15" s="194">
        <f>Fin_progress!U15</f>
        <v>0</v>
      </c>
      <c r="O15" s="194">
        <f>Fin_progress!V15</f>
        <v>0</v>
      </c>
      <c r="P15" s="193">
        <f>Fin_progress!W15</f>
        <v>330</v>
      </c>
      <c r="Q15" s="193">
        <f>Fin_progress!Z15</f>
        <v>419952678.00999999</v>
      </c>
      <c r="R15" s="194">
        <f>Fin_progress!AA15</f>
        <v>0.93693188801164506</v>
      </c>
      <c r="S15" s="194">
        <f>Fin_progress!AB15</f>
        <v>0</v>
      </c>
      <c r="T15" s="194">
        <f>Fin_progress!AC15</f>
        <v>0</v>
      </c>
      <c r="U15" s="193">
        <f>Fin_progress!AD15</f>
        <v>330</v>
      </c>
      <c r="V15" s="193">
        <f>Fin_progress!AG15</f>
        <v>407907128.38</v>
      </c>
      <c r="W15" s="194">
        <f>Fin_progress!AH15</f>
        <v>0.91005776588328202</v>
      </c>
      <c r="X15" s="194">
        <f>Fin_progress!AI15</f>
        <v>-3.3465623762163332E-6</v>
      </c>
      <c r="Y15" s="194">
        <f>Fin_progress!AJ15</f>
        <v>-3.6772941184333768E-6</v>
      </c>
    </row>
    <row r="16" spans="1:25" ht="45" customHeight="1" x14ac:dyDescent="0.25">
      <c r="A16" s="246" t="s">
        <v>12</v>
      </c>
      <c r="B16" s="247" t="s">
        <v>13</v>
      </c>
      <c r="C16" s="171">
        <f>Fin_progress!H32</f>
        <v>171083829</v>
      </c>
      <c r="D16" s="171">
        <f>Fin_progress!I32</f>
        <v>0</v>
      </c>
      <c r="E16" s="171">
        <f>Fin_progress!J32</f>
        <v>171083829</v>
      </c>
      <c r="F16" s="171">
        <f>Fin_progress!K32</f>
        <v>7856779.6605614899</v>
      </c>
      <c r="G16" s="171">
        <f>Fin_progress!L32</f>
        <v>165233954.75</v>
      </c>
      <c r="H16" s="172">
        <f>Fin_progress!M32</f>
        <v>0.96580697144672856</v>
      </c>
      <c r="I16" s="172">
        <f>Fin_progress!N32</f>
        <v>0</v>
      </c>
      <c r="J16" s="172">
        <f>Fin_progress!O32</f>
        <v>0</v>
      </c>
      <c r="K16" s="171">
        <f>Fin_progress!P32</f>
        <v>59</v>
      </c>
      <c r="L16" s="171">
        <f>Fin_progress!S32</f>
        <v>165233954.75</v>
      </c>
      <c r="M16" s="172">
        <f>Fin_progress!T32</f>
        <v>0.96580697144672856</v>
      </c>
      <c r="N16" s="172">
        <f>Fin_progress!U32</f>
        <v>0</v>
      </c>
      <c r="O16" s="171">
        <f>Fin_progress!V32</f>
        <v>0</v>
      </c>
      <c r="P16" s="171">
        <f>Fin_progress!W32</f>
        <v>59</v>
      </c>
      <c r="Q16" s="171">
        <f>Fin_progress!Z32</f>
        <v>165233954.75</v>
      </c>
      <c r="R16" s="172">
        <f>Fin_progress!AA32</f>
        <v>0.96580697144672856</v>
      </c>
      <c r="S16" s="172">
        <f>Fin_progress!AB32</f>
        <v>0</v>
      </c>
      <c r="T16" s="172">
        <f>Fin_progress!AC32</f>
        <v>0</v>
      </c>
      <c r="U16" s="171">
        <f>Fin_progress!AD32</f>
        <v>59</v>
      </c>
      <c r="V16" s="171">
        <f>Fin_progress!AG32</f>
        <v>165233954.75</v>
      </c>
      <c r="W16" s="172">
        <f>Fin_progress!AH32</f>
        <v>0.96580697144672856</v>
      </c>
      <c r="X16" s="172">
        <f>Fin_progress!AI32</f>
        <v>0</v>
      </c>
      <c r="Y16" s="172">
        <f>Fin_progress!AJ32</f>
        <v>0</v>
      </c>
    </row>
    <row r="17" spans="1:25" ht="45" customHeight="1" x14ac:dyDescent="0.25">
      <c r="A17" s="244" t="s">
        <v>18</v>
      </c>
      <c r="B17" s="245" t="s">
        <v>19</v>
      </c>
      <c r="C17" s="193">
        <f>Fin_progress!H39</f>
        <v>370305153</v>
      </c>
      <c r="D17" s="193">
        <f>Fin_progress!I39</f>
        <v>290005</v>
      </c>
      <c r="E17" s="193">
        <f>Fin_progress!J39</f>
        <v>370595158</v>
      </c>
      <c r="F17" s="193">
        <f>Fin_progress!K39</f>
        <v>16979226.728510205</v>
      </c>
      <c r="G17" s="193">
        <f>Fin_progress!L39</f>
        <v>354668642.69</v>
      </c>
      <c r="H17" s="194">
        <f>Fin_progress!M39</f>
        <v>0.95777398671522129</v>
      </c>
      <c r="I17" s="194">
        <f>Fin_progress!N39</f>
        <v>0</v>
      </c>
      <c r="J17" s="194">
        <f>Fin_progress!O39</f>
        <v>0</v>
      </c>
      <c r="K17" s="193">
        <f>Fin_progress!P39</f>
        <v>178</v>
      </c>
      <c r="L17" s="193">
        <f>Fin_progress!S39</f>
        <v>354668642.69</v>
      </c>
      <c r="M17" s="194">
        <f>Fin_progress!T39</f>
        <v>0.95777398671522129</v>
      </c>
      <c r="N17" s="194">
        <f>Fin_progress!U39</f>
        <v>0</v>
      </c>
      <c r="O17" s="194">
        <f>Fin_progress!V39</f>
        <v>0</v>
      </c>
      <c r="P17" s="193">
        <f>Fin_progress!W39</f>
        <v>178</v>
      </c>
      <c r="Q17" s="193">
        <f>Fin_progress!Z39</f>
        <v>354668642.69</v>
      </c>
      <c r="R17" s="194">
        <f>Fin_progress!AA39</f>
        <v>0.95777398671522129</v>
      </c>
      <c r="S17" s="194">
        <f>Fin_progress!AB39</f>
        <v>0</v>
      </c>
      <c r="T17" s="194">
        <f>Fin_progress!AC39</f>
        <v>0</v>
      </c>
      <c r="U17" s="193">
        <f>Fin_progress!AD39</f>
        <v>178</v>
      </c>
      <c r="V17" s="193">
        <f>Fin_progress!AG39</f>
        <v>347456641.94999999</v>
      </c>
      <c r="W17" s="194">
        <f>Fin_progress!AH39</f>
        <v>0.93829815527843863</v>
      </c>
      <c r="X17" s="194">
        <f>Fin_progress!AI39</f>
        <v>0</v>
      </c>
      <c r="Y17" s="194">
        <f>Fin_progress!AJ39</f>
        <v>0</v>
      </c>
    </row>
    <row r="18" spans="1:25" ht="45" customHeight="1" x14ac:dyDescent="0.25">
      <c r="A18" s="246" t="s">
        <v>29</v>
      </c>
      <c r="B18" s="247" t="s">
        <v>30</v>
      </c>
      <c r="C18" s="173">
        <f>Fin_progress!H64</f>
        <v>645831597</v>
      </c>
      <c r="D18" s="173">
        <f>Fin_progress!I64</f>
        <v>61392669</v>
      </c>
      <c r="E18" s="173">
        <f>Fin_progress!J64</f>
        <v>707224266</v>
      </c>
      <c r="F18" s="173">
        <f>Fin_progress!K64</f>
        <v>15543636.724113045</v>
      </c>
      <c r="G18" s="173">
        <f>Fin_progress!L64</f>
        <v>639013769.3900001</v>
      </c>
      <c r="H18" s="174">
        <f>Fin_progress!M64</f>
        <v>0.98944333531888207</v>
      </c>
      <c r="I18" s="174">
        <f>Fin_progress!N64</f>
        <v>0</v>
      </c>
      <c r="J18" s="174">
        <f>Fin_progress!O64</f>
        <v>0</v>
      </c>
      <c r="K18" s="173">
        <f>Fin_progress!P64</f>
        <v>504</v>
      </c>
      <c r="L18" s="173">
        <f>Fin_progress!S64</f>
        <v>639013769.3900001</v>
      </c>
      <c r="M18" s="174">
        <f>Fin_progress!T64</f>
        <v>0.98944333531888207</v>
      </c>
      <c r="N18" s="174">
        <f>Fin_progress!U64</f>
        <v>0</v>
      </c>
      <c r="O18" s="174">
        <f>Fin_progress!V64</f>
        <v>0</v>
      </c>
      <c r="P18" s="173">
        <f>Fin_progress!W64</f>
        <v>504</v>
      </c>
      <c r="Q18" s="173">
        <f>Fin_progress!Z64</f>
        <v>639013769.3900001</v>
      </c>
      <c r="R18" s="174">
        <f>Fin_progress!AA64</f>
        <v>0.98944333531888207</v>
      </c>
      <c r="S18" s="174">
        <f>Fin_progress!AB64</f>
        <v>0</v>
      </c>
      <c r="T18" s="174">
        <f>Fin_progress!AC64</f>
        <v>0</v>
      </c>
      <c r="U18" s="173">
        <f>Fin_progress!AD64</f>
        <v>504</v>
      </c>
      <c r="V18" s="173">
        <f>Fin_progress!AG64</f>
        <v>639486621.72000003</v>
      </c>
      <c r="W18" s="174">
        <f>Fin_progress!AH64</f>
        <v>0.99017549573375863</v>
      </c>
      <c r="X18" s="174">
        <f>Fin_progress!AI64</f>
        <v>1.3123173346385464E-4</v>
      </c>
      <c r="Y18" s="174">
        <f>Fin_progress!AJ64</f>
        <v>1.3255138000960246E-4</v>
      </c>
    </row>
    <row r="19" spans="1:25" ht="45" customHeight="1" x14ac:dyDescent="0.25">
      <c r="A19" s="244" t="s">
        <v>51</v>
      </c>
      <c r="B19" s="245" t="s">
        <v>367</v>
      </c>
      <c r="C19" s="193">
        <f>Fin_progress!H80</f>
        <v>581390235</v>
      </c>
      <c r="D19" s="193">
        <f>Fin_progress!I80</f>
        <v>78662967</v>
      </c>
      <c r="E19" s="193">
        <f>Fin_progress!J80</f>
        <v>660053202</v>
      </c>
      <c r="F19" s="193">
        <f>Fin_progress!K80</f>
        <v>21646183.946061909</v>
      </c>
      <c r="G19" s="193">
        <f>Fin_progress!L80</f>
        <v>622630364.61000001</v>
      </c>
      <c r="H19" s="194">
        <f>Fin_progress!M80</f>
        <v>1.0709336468473709</v>
      </c>
      <c r="I19" s="194">
        <f>Fin_progress!N80</f>
        <v>0</v>
      </c>
      <c r="J19" s="194">
        <f>Fin_progress!O80</f>
        <v>0</v>
      </c>
      <c r="K19" s="193">
        <f>Fin_progress!P80</f>
        <v>273</v>
      </c>
      <c r="L19" s="193">
        <f>Fin_progress!S80</f>
        <v>622630364.61000001</v>
      </c>
      <c r="M19" s="194">
        <f>Fin_progress!T80</f>
        <v>1.0709336468473709</v>
      </c>
      <c r="N19" s="194">
        <f>Fin_progress!U80</f>
        <v>0</v>
      </c>
      <c r="O19" s="194">
        <f>Fin_progress!V80</f>
        <v>0</v>
      </c>
      <c r="P19" s="193">
        <f>Fin_progress!W80</f>
        <v>273</v>
      </c>
      <c r="Q19" s="193">
        <f>Fin_progress!Z80</f>
        <v>622630364.61000001</v>
      </c>
      <c r="R19" s="194">
        <f>Fin_progress!AA80</f>
        <v>1.0709336468473709</v>
      </c>
      <c r="S19" s="194">
        <f>Fin_progress!AB80</f>
        <v>0</v>
      </c>
      <c r="T19" s="194">
        <f>Fin_progress!AC80</f>
        <v>0</v>
      </c>
      <c r="U19" s="193">
        <f>Fin_progress!AD80</f>
        <v>273</v>
      </c>
      <c r="V19" s="193">
        <f>Fin_progress!AG80</f>
        <v>618590696.21000004</v>
      </c>
      <c r="W19" s="194">
        <f>Fin_progress!AH80</f>
        <v>1.063985356083595</v>
      </c>
      <c r="X19" s="194">
        <f>Fin_progress!AI80</f>
        <v>-1.4328205908031855E-4</v>
      </c>
      <c r="Y19" s="194">
        <f>Fin_progress!AJ80</f>
        <v>-1.3464731043264977E-4</v>
      </c>
    </row>
    <row r="20" spans="1:25" ht="45" customHeight="1" x14ac:dyDescent="0.25">
      <c r="A20" s="246" t="s">
        <v>71</v>
      </c>
      <c r="B20" s="248" t="s">
        <v>75</v>
      </c>
      <c r="C20" s="171">
        <f>Fin_progress!H106</f>
        <v>886835593</v>
      </c>
      <c r="D20" s="171">
        <f>Fin_progress!I106</f>
        <v>0</v>
      </c>
      <c r="E20" s="171">
        <f>Fin_progress!J106</f>
        <v>886835593</v>
      </c>
      <c r="F20" s="171">
        <f>Fin_progress!K106</f>
        <v>69622402.513883501</v>
      </c>
      <c r="G20" s="171">
        <f>Fin_progress!L106</f>
        <v>801894815.95999992</v>
      </c>
      <c r="H20" s="172">
        <f>Fin_progress!M106</f>
        <v>0.90422037894006801</v>
      </c>
      <c r="I20" s="172">
        <f>Fin_progress!N106</f>
        <v>0</v>
      </c>
      <c r="J20" s="172">
        <f>Fin_progress!O106</f>
        <v>0</v>
      </c>
      <c r="K20" s="171">
        <f>Fin_progress!P106</f>
        <v>89</v>
      </c>
      <c r="L20" s="171">
        <f>Fin_progress!S106</f>
        <v>801894815.95999992</v>
      </c>
      <c r="M20" s="172">
        <f>Fin_progress!T106</f>
        <v>0.90422037894006801</v>
      </c>
      <c r="N20" s="172">
        <f>Fin_progress!U106</f>
        <v>0</v>
      </c>
      <c r="O20" s="172">
        <f>Fin_progress!V106</f>
        <v>0</v>
      </c>
      <c r="P20" s="171">
        <f>Fin_progress!W106</f>
        <v>89</v>
      </c>
      <c r="Q20" s="171">
        <f>Fin_progress!Z106</f>
        <v>801894815.95999992</v>
      </c>
      <c r="R20" s="172">
        <f>Fin_progress!AA106</f>
        <v>0.90422037894006801</v>
      </c>
      <c r="S20" s="172">
        <f>Fin_progress!AB106</f>
        <v>0</v>
      </c>
      <c r="T20" s="172">
        <f>Fin_progress!AC106</f>
        <v>0</v>
      </c>
      <c r="U20" s="171">
        <f>Fin_progress!AD106</f>
        <v>89</v>
      </c>
      <c r="V20" s="171">
        <f>Fin_progress!AG106</f>
        <v>802575771.75999999</v>
      </c>
      <c r="W20" s="172">
        <f>Fin_progress!AH106</f>
        <v>0.90498822791385192</v>
      </c>
      <c r="X20" s="172">
        <f>Fin_progress!AI106</f>
        <v>-2.2534357165782115E-4</v>
      </c>
      <c r="Y20" s="172">
        <f>Fin_progress!AJ106</f>
        <v>-2.4893967430034098E-4</v>
      </c>
    </row>
    <row r="21" spans="1:25" ht="45" customHeight="1" x14ac:dyDescent="0.25">
      <c r="A21" s="244" t="s">
        <v>86</v>
      </c>
      <c r="B21" s="245" t="s">
        <v>617</v>
      </c>
      <c r="C21" s="193">
        <f>Fin_progress!H126</f>
        <v>163481471</v>
      </c>
      <c r="D21" s="193">
        <f>Fin_progress!I126</f>
        <v>0</v>
      </c>
      <c r="E21" s="193">
        <f>Fin_progress!J126</f>
        <v>163481471</v>
      </c>
      <c r="F21" s="193">
        <f>Fin_progress!K126</f>
        <v>6973974</v>
      </c>
      <c r="G21" s="193">
        <f>Fin_progress!L126</f>
        <v>162109868.37</v>
      </c>
      <c r="H21" s="194">
        <f>Fin_progress!M126</f>
        <v>0.99161004227812466</v>
      </c>
      <c r="I21" s="194">
        <f>Fin_progress!N126</f>
        <v>0</v>
      </c>
      <c r="J21" s="194">
        <f>Fin_progress!O126</f>
        <v>0</v>
      </c>
      <c r="K21" s="193">
        <f>Fin_progress!P126</f>
        <v>7</v>
      </c>
      <c r="L21" s="193">
        <f>Fin_progress!S126</f>
        <v>162109868.37</v>
      </c>
      <c r="M21" s="194">
        <f>Fin_progress!T126</f>
        <v>0.99161004227812466</v>
      </c>
      <c r="N21" s="194">
        <f>Fin_progress!U126</f>
        <v>0</v>
      </c>
      <c r="O21" s="194">
        <f>Fin_progress!V126</f>
        <v>0</v>
      </c>
      <c r="P21" s="193">
        <f>Fin_progress!W126</f>
        <v>7</v>
      </c>
      <c r="Q21" s="193">
        <f>Fin_progress!Z126</f>
        <v>162109868.37</v>
      </c>
      <c r="R21" s="194">
        <f>Fin_progress!AA126</f>
        <v>0.99161004227812466</v>
      </c>
      <c r="S21" s="194">
        <f>Fin_progress!AB126</f>
        <v>0</v>
      </c>
      <c r="T21" s="194">
        <f>Fin_progress!AC126</f>
        <v>0</v>
      </c>
      <c r="U21" s="193">
        <f>Fin_progress!AD126</f>
        <v>7</v>
      </c>
      <c r="V21" s="193">
        <f>Fin_progress!AG126</f>
        <v>162109868.37</v>
      </c>
      <c r="W21" s="194">
        <f>Fin_progress!AH126</f>
        <v>0.99161004227812466</v>
      </c>
      <c r="X21" s="194">
        <f>Fin_progress!AI126</f>
        <v>0</v>
      </c>
      <c r="Y21" s="194">
        <f>Fin_progress!AJ126</f>
        <v>0</v>
      </c>
    </row>
    <row r="22" spans="1:25" ht="45" customHeight="1" x14ac:dyDescent="0.25">
      <c r="A22" s="246" t="s">
        <v>97</v>
      </c>
      <c r="B22" s="247" t="s">
        <v>98</v>
      </c>
      <c r="C22" s="173">
        <f>Fin_progress!H142</f>
        <v>523940298</v>
      </c>
      <c r="D22" s="173">
        <f>Fin_progress!I142</f>
        <v>5607771</v>
      </c>
      <c r="E22" s="173">
        <f>Fin_progress!J142</f>
        <v>529548069</v>
      </c>
      <c r="F22" s="173">
        <f>Fin_progress!K142</f>
        <v>23439111.242077023</v>
      </c>
      <c r="G22" s="173">
        <f>Fin_progress!L142</f>
        <v>519683965.81999999</v>
      </c>
      <c r="H22" s="174">
        <f>Fin_progress!M142</f>
        <v>0.99187630308978447</v>
      </c>
      <c r="I22" s="174">
        <f>Fin_progress!N142</f>
        <v>0</v>
      </c>
      <c r="J22" s="174">
        <f>Fin_progress!O142</f>
        <v>0</v>
      </c>
      <c r="K22" s="173">
        <f>Fin_progress!P142</f>
        <v>188</v>
      </c>
      <c r="L22" s="173">
        <f>Fin_progress!S142</f>
        <v>519683965.81999999</v>
      </c>
      <c r="M22" s="174">
        <f>Fin_progress!T142</f>
        <v>0.99187630308978447</v>
      </c>
      <c r="N22" s="174">
        <f>Fin_progress!U142</f>
        <v>0</v>
      </c>
      <c r="O22" s="174">
        <f>Fin_progress!V142</f>
        <v>0</v>
      </c>
      <c r="P22" s="173">
        <f>Fin_progress!W142</f>
        <v>188</v>
      </c>
      <c r="Q22" s="173">
        <f>Fin_progress!Z142</f>
        <v>519683965.81999999</v>
      </c>
      <c r="R22" s="174">
        <f>Fin_progress!AA142</f>
        <v>0.99187630308978447</v>
      </c>
      <c r="S22" s="174">
        <f>Fin_progress!AB142</f>
        <v>0</v>
      </c>
      <c r="T22" s="174">
        <f>Fin_progress!AC142</f>
        <v>0</v>
      </c>
      <c r="U22" s="173">
        <f>Fin_progress!AD142</f>
        <v>188</v>
      </c>
      <c r="V22" s="173">
        <f>Fin_progress!AG142</f>
        <v>516245733.80000007</v>
      </c>
      <c r="W22" s="174">
        <f>Fin_progress!AH142</f>
        <v>0.98531404392948618</v>
      </c>
      <c r="X22" s="174">
        <f>Fin_progress!AI142</f>
        <v>-1.0439542483886566E-4</v>
      </c>
      <c r="Y22" s="174">
        <f>Fin_progress!AJ142</f>
        <v>-1.0594019826467209E-4</v>
      </c>
    </row>
    <row r="23" spans="1:25" ht="45" customHeight="1" x14ac:dyDescent="0.25">
      <c r="A23" s="244" t="s">
        <v>127</v>
      </c>
      <c r="B23" s="245" t="s">
        <v>130</v>
      </c>
      <c r="C23" s="193">
        <f>Fin_progress!H172</f>
        <v>516095086</v>
      </c>
      <c r="D23" s="193">
        <f>Fin_progress!I172</f>
        <v>15313244</v>
      </c>
      <c r="E23" s="193">
        <f>Fin_progress!J172</f>
        <v>531408330</v>
      </c>
      <c r="F23" s="193">
        <f>Fin_progress!K172</f>
        <v>15459758</v>
      </c>
      <c r="G23" s="193">
        <f>Fin_progress!L172</f>
        <v>489166989.72999996</v>
      </c>
      <c r="H23" s="194">
        <f>Fin_progress!M172</f>
        <v>0.94782338177503977</v>
      </c>
      <c r="I23" s="194">
        <f>Fin_progress!N172</f>
        <v>0</v>
      </c>
      <c r="J23" s="194">
        <f>Fin_progress!O172</f>
        <v>0</v>
      </c>
      <c r="K23" s="193">
        <f>Fin_progress!P172</f>
        <v>610</v>
      </c>
      <c r="L23" s="193">
        <f>Fin_progress!S172</f>
        <v>489166989.72999996</v>
      </c>
      <c r="M23" s="194">
        <f>Fin_progress!T172</f>
        <v>0.94782338177503977</v>
      </c>
      <c r="N23" s="194">
        <f>Fin_progress!U172</f>
        <v>0</v>
      </c>
      <c r="O23" s="194">
        <f>Fin_progress!V172</f>
        <v>0</v>
      </c>
      <c r="P23" s="193">
        <f>Fin_progress!W172</f>
        <v>610</v>
      </c>
      <c r="Q23" s="193">
        <f>Fin_progress!Z172</f>
        <v>489166989.72999996</v>
      </c>
      <c r="R23" s="194">
        <f>Fin_progress!AA172</f>
        <v>0.94782338177503977</v>
      </c>
      <c r="S23" s="194">
        <f>Fin_progress!AB172</f>
        <v>0</v>
      </c>
      <c r="T23" s="194">
        <f>Fin_progress!AC172</f>
        <v>0</v>
      </c>
      <c r="U23" s="193">
        <f>Fin_progress!AD172</f>
        <v>610</v>
      </c>
      <c r="V23" s="193">
        <f>Fin_progress!AG172</f>
        <v>485781659.57999992</v>
      </c>
      <c r="W23" s="194">
        <f>Fin_progress!AH172</f>
        <v>0.9412638731847951</v>
      </c>
      <c r="X23" s="194">
        <f>Fin_progress!AI172</f>
        <v>0</v>
      </c>
      <c r="Y23" s="194">
        <f>Fin_progress!AJ172</f>
        <v>0</v>
      </c>
    </row>
    <row r="24" spans="1:25" ht="45" customHeight="1" x14ac:dyDescent="0.25">
      <c r="A24" s="246" t="s">
        <v>141</v>
      </c>
      <c r="B24" s="247" t="s">
        <v>142</v>
      </c>
      <c r="C24" s="173">
        <f>Fin_progress!H207</f>
        <v>21420040</v>
      </c>
      <c r="D24" s="173">
        <f>Fin_progress!I207</f>
        <v>0</v>
      </c>
      <c r="E24" s="173">
        <f>Fin_progress!J207</f>
        <v>21420040</v>
      </c>
      <c r="F24" s="173">
        <f>Fin_progress!K207</f>
        <v>0</v>
      </c>
      <c r="G24" s="173">
        <f>Fin_progress!L207</f>
        <v>20958161.16</v>
      </c>
      <c r="H24" s="174">
        <f>Fin_progress!M207</f>
        <v>0.97843706921182216</v>
      </c>
      <c r="I24" s="174">
        <f>Fin_progress!N207</f>
        <v>0</v>
      </c>
      <c r="J24" s="174">
        <f>Fin_progress!O207</f>
        <v>0</v>
      </c>
      <c r="K24" s="173">
        <f>Fin_progress!P207</f>
        <v>44</v>
      </c>
      <c r="L24" s="173">
        <f>Fin_progress!S207</f>
        <v>20958161.16</v>
      </c>
      <c r="M24" s="174">
        <f>Fin_progress!T207</f>
        <v>0.97843706921182216</v>
      </c>
      <c r="N24" s="174">
        <f>Fin_progress!U207</f>
        <v>0</v>
      </c>
      <c r="O24" s="174">
        <f>Fin_progress!V207</f>
        <v>0</v>
      </c>
      <c r="P24" s="173">
        <f>Fin_progress!W207</f>
        <v>44</v>
      </c>
      <c r="Q24" s="173">
        <f>Fin_progress!Z207</f>
        <v>20958161.16</v>
      </c>
      <c r="R24" s="174">
        <f>Fin_progress!AA207</f>
        <v>0.97843706921182216</v>
      </c>
      <c r="S24" s="174">
        <f>Fin_progress!AB207</f>
        <v>0</v>
      </c>
      <c r="T24" s="174">
        <f>Fin_progress!AC207</f>
        <v>0</v>
      </c>
      <c r="U24" s="173">
        <f>Fin_progress!AD207</f>
        <v>44</v>
      </c>
      <c r="V24" s="173">
        <f>Fin_progress!AG207</f>
        <v>20958105.09</v>
      </c>
      <c r="W24" s="174">
        <f>Fin_progress!AH207</f>
        <v>0.97843445156965159</v>
      </c>
      <c r="X24" s="174">
        <f>Fin_progress!AI207</f>
        <v>0</v>
      </c>
      <c r="Y24" s="174">
        <f>Fin_progress!AJ207</f>
        <v>0</v>
      </c>
    </row>
    <row r="25" spans="1:25" ht="45" customHeight="1" x14ac:dyDescent="0.25">
      <c r="A25" s="244" t="s">
        <v>144</v>
      </c>
      <c r="B25" s="245" t="s">
        <v>146</v>
      </c>
      <c r="C25" s="193">
        <f>Fin_progress!H211</f>
        <v>39180553</v>
      </c>
      <c r="D25" s="193">
        <f>Fin_progress!I211</f>
        <v>0</v>
      </c>
      <c r="E25" s="193">
        <f>Fin_progress!J211</f>
        <v>39180553</v>
      </c>
      <c r="F25" s="193">
        <f>Fin_progress!K211</f>
        <v>0</v>
      </c>
      <c r="G25" s="193">
        <f>Fin_progress!L211</f>
        <v>39151081.200000003</v>
      </c>
      <c r="H25" s="194">
        <f>Fin_progress!M211</f>
        <v>0.99924779520084883</v>
      </c>
      <c r="I25" s="194">
        <f>Fin_progress!N211</f>
        <v>0</v>
      </c>
      <c r="J25" s="194">
        <f>Fin_progress!O211</f>
        <v>0</v>
      </c>
      <c r="K25" s="193">
        <f>Fin_progress!P211</f>
        <v>31</v>
      </c>
      <c r="L25" s="193">
        <f>Fin_progress!S211</f>
        <v>39151081.200000003</v>
      </c>
      <c r="M25" s="194">
        <f>Fin_progress!T211</f>
        <v>0.99924779520084883</v>
      </c>
      <c r="N25" s="194">
        <f>Fin_progress!U211</f>
        <v>0</v>
      </c>
      <c r="O25" s="194">
        <f>Fin_progress!V211</f>
        <v>0</v>
      </c>
      <c r="P25" s="193">
        <f>Fin_progress!W211</f>
        <v>31</v>
      </c>
      <c r="Q25" s="193">
        <f>Fin_progress!Z211</f>
        <v>39151081.200000003</v>
      </c>
      <c r="R25" s="194">
        <f>Fin_progress!AA211</f>
        <v>0.99924779520084883</v>
      </c>
      <c r="S25" s="194">
        <f>Fin_progress!AB211</f>
        <v>0</v>
      </c>
      <c r="T25" s="194">
        <f>Fin_progress!AC211</f>
        <v>0</v>
      </c>
      <c r="U25" s="193">
        <f>Fin_progress!AD211</f>
        <v>31</v>
      </c>
      <c r="V25" s="193">
        <f>Fin_progress!AG211</f>
        <v>39150971.990000002</v>
      </c>
      <c r="W25" s="194">
        <f>Fin_progress!AH211</f>
        <v>0.99924500784866421</v>
      </c>
      <c r="X25" s="194">
        <f>Fin_progress!AI211</f>
        <v>0</v>
      </c>
      <c r="Y25" s="194">
        <f>Fin_progress!AJ211</f>
        <v>0</v>
      </c>
    </row>
    <row r="26" spans="1:25" ht="45" customHeight="1" x14ac:dyDescent="0.25">
      <c r="A26" s="246" t="s">
        <v>145</v>
      </c>
      <c r="B26" s="247" t="s">
        <v>147</v>
      </c>
      <c r="C26" s="173">
        <f>Fin_progress!H213</f>
        <v>40715710</v>
      </c>
      <c r="D26" s="173">
        <f>Fin_progress!I213</f>
        <v>0</v>
      </c>
      <c r="E26" s="173">
        <f>Fin_progress!J213</f>
        <v>40715710</v>
      </c>
      <c r="F26" s="173">
        <f>Fin_progress!K213</f>
        <v>0</v>
      </c>
      <c r="G26" s="173">
        <f>Fin_progress!L213</f>
        <v>40697163.219999999</v>
      </c>
      <c r="H26" s="174">
        <f>Fin_progress!M213</f>
        <v>0.99954448098780546</v>
      </c>
      <c r="I26" s="174">
        <f>Fin_progress!N213</f>
        <v>0</v>
      </c>
      <c r="J26" s="174">
        <f>Fin_progress!O213</f>
        <v>0</v>
      </c>
      <c r="K26" s="173">
        <f>Fin_progress!P213</f>
        <v>7</v>
      </c>
      <c r="L26" s="173">
        <f>Fin_progress!S213</f>
        <v>40697163.219999999</v>
      </c>
      <c r="M26" s="174">
        <f>Fin_progress!T213</f>
        <v>0.99954448098780546</v>
      </c>
      <c r="N26" s="174">
        <f>Fin_progress!U213</f>
        <v>0</v>
      </c>
      <c r="O26" s="174">
        <f>Fin_progress!V213</f>
        <v>0</v>
      </c>
      <c r="P26" s="173">
        <f>Fin_progress!W213</f>
        <v>7</v>
      </c>
      <c r="Q26" s="173">
        <f>Fin_progress!Z213</f>
        <v>40697163.219999999</v>
      </c>
      <c r="R26" s="174">
        <f>Fin_progress!AA213</f>
        <v>0.99954448098780546</v>
      </c>
      <c r="S26" s="174">
        <f>Fin_progress!AB213</f>
        <v>0</v>
      </c>
      <c r="T26" s="174">
        <f>Fin_progress!AC213</f>
        <v>0</v>
      </c>
      <c r="U26" s="173">
        <f>Fin_progress!AD213</f>
        <v>7</v>
      </c>
      <c r="V26" s="173">
        <f>Fin_progress!AG213</f>
        <v>40697163.219999999</v>
      </c>
      <c r="W26" s="174">
        <f>Fin_progress!AH213</f>
        <v>0.99954448098780546</v>
      </c>
      <c r="X26" s="174">
        <f>Fin_progress!AI213</f>
        <v>0</v>
      </c>
      <c r="Y26" s="174">
        <f>Fin_progress!AJ213</f>
        <v>0</v>
      </c>
    </row>
    <row r="27" spans="1:25" ht="45" customHeight="1" x14ac:dyDescent="0.25">
      <c r="A27" s="244" t="s">
        <v>1376</v>
      </c>
      <c r="B27" s="245" t="str">
        <f>Fin_progress!B215</f>
        <v>Pasākumi Covid-19 pandēmijas seku mazināšanai (ERAF)</v>
      </c>
      <c r="C27" s="193">
        <f>Fin_progress!H215</f>
        <v>197923434</v>
      </c>
      <c r="D27" s="193">
        <f>Fin_progress!I215</f>
        <v>1</v>
      </c>
      <c r="E27" s="193">
        <f>Fin_progress!J215</f>
        <v>197923435</v>
      </c>
      <c r="F27" s="193">
        <f>Fin_progress!K214</f>
        <v>0</v>
      </c>
      <c r="G27" s="193">
        <f>Fin_progress!L215</f>
        <v>172648849.45000002</v>
      </c>
      <c r="H27" s="194">
        <f>Fin_progress!M215</f>
        <v>0.87230120234272013</v>
      </c>
      <c r="I27" s="194">
        <f>Fin_progress!N215</f>
        <v>0</v>
      </c>
      <c r="J27" s="194">
        <f>Fin_progress!O215</f>
        <v>0</v>
      </c>
      <c r="K27" s="193">
        <f>Fin_progress!P215</f>
        <v>126</v>
      </c>
      <c r="L27" s="193">
        <f>Fin_progress!S215</f>
        <v>172648849.45000002</v>
      </c>
      <c r="M27" s="194">
        <f>Fin_progress!T215</f>
        <v>0.87230120234272013</v>
      </c>
      <c r="N27" s="194">
        <f>Fin_progress!U215</f>
        <v>0</v>
      </c>
      <c r="O27" s="194">
        <f>Fin_progress!V215</f>
        <v>0</v>
      </c>
      <c r="P27" s="193">
        <f>Fin_progress!W215</f>
        <v>126</v>
      </c>
      <c r="Q27" s="193">
        <f>Fin_progress!Z215</f>
        <v>172648849.45000002</v>
      </c>
      <c r="R27" s="194">
        <f>Fin_progress!AA215</f>
        <v>0.87230120234272013</v>
      </c>
      <c r="S27" s="194">
        <f>Fin_progress!AB215</f>
        <v>0</v>
      </c>
      <c r="T27" s="194">
        <f>Fin_progress!AC215</f>
        <v>0</v>
      </c>
      <c r="U27" s="193">
        <f>Fin_progress!AD215</f>
        <v>126</v>
      </c>
      <c r="V27" s="193">
        <f>Fin_progress!AG215</f>
        <v>170369875.22000003</v>
      </c>
      <c r="W27" s="194">
        <f>Fin_progress!AH215</f>
        <v>0.86078677889147792</v>
      </c>
      <c r="X27" s="194">
        <f>Fin_progress!AI215</f>
        <v>0</v>
      </c>
      <c r="Y27" s="194">
        <f>Fin_progress!AJ215</f>
        <v>0</v>
      </c>
    </row>
    <row r="28" spans="1:25" ht="45" customHeight="1" x14ac:dyDescent="0.25">
      <c r="A28" s="246" t="s">
        <v>1500</v>
      </c>
      <c r="B28" s="247" t="str">
        <f>Fin_progress!B228</f>
        <v>Pasākumi Covid-19 pandēmijas seku mazināšanai (ESF)</v>
      </c>
      <c r="C28" s="173">
        <f>Fin_progress!H228</f>
        <v>22489087</v>
      </c>
      <c r="D28" s="173">
        <f>Fin_progress!I228</f>
        <v>0</v>
      </c>
      <c r="E28" s="173">
        <f>Fin_progress!J228</f>
        <v>22489087</v>
      </c>
      <c r="F28" s="173">
        <f>Fin_progress!K215</f>
        <v>0</v>
      </c>
      <c r="G28" s="173">
        <f>Fin_progress!L228</f>
        <v>21467834.219999999</v>
      </c>
      <c r="H28" s="174">
        <f>Fin_progress!M228</f>
        <v>0.95458896219308498</v>
      </c>
      <c r="I28" s="174">
        <f>Fin_progress!N228</f>
        <v>0</v>
      </c>
      <c r="J28" s="174">
        <f>Fin_progress!O228</f>
        <v>0</v>
      </c>
      <c r="K28" s="173">
        <f>Fin_progress!P228</f>
        <v>4</v>
      </c>
      <c r="L28" s="173">
        <f>Fin_progress!S228</f>
        <v>21467834.219999999</v>
      </c>
      <c r="M28" s="174">
        <f>Fin_progress!T228</f>
        <v>0.95458896219308498</v>
      </c>
      <c r="N28" s="174">
        <f>Fin_progress!U228</f>
        <v>0</v>
      </c>
      <c r="O28" s="174">
        <f>Fin_progress!V228</f>
        <v>0</v>
      </c>
      <c r="P28" s="173">
        <f>Fin_progress!W228</f>
        <v>4</v>
      </c>
      <c r="Q28" s="173">
        <f>Fin_progress!Z228</f>
        <v>21467834.219999999</v>
      </c>
      <c r="R28" s="174">
        <f>Fin_progress!AA228</f>
        <v>0.95458896219308498</v>
      </c>
      <c r="S28" s="174">
        <f>Fin_progress!AB228</f>
        <v>0</v>
      </c>
      <c r="T28" s="174">
        <f>Fin_progress!AC228</f>
        <v>0</v>
      </c>
      <c r="U28" s="173">
        <f>Fin_progress!AD228</f>
        <v>4</v>
      </c>
      <c r="V28" s="173">
        <f>Fin_progress!AG228</f>
        <v>21128869.52</v>
      </c>
      <c r="W28" s="174">
        <f>Fin_progress!AH228</f>
        <v>0.93951655396237288</v>
      </c>
      <c r="X28" s="174">
        <f>Fin_progress!AI228</f>
        <v>0</v>
      </c>
      <c r="Y28" s="174">
        <f>Fin_progress!AJ228</f>
        <v>0</v>
      </c>
    </row>
    <row r="29" spans="1:25" ht="45" customHeight="1" x14ac:dyDescent="0.25">
      <c r="A29" s="244" t="s">
        <v>1602</v>
      </c>
      <c r="B29" s="245" t="str">
        <f>Fin_progress!B233</f>
        <v>Pasākumi Krievijas Federācijas militārās agresijas seku mazināšanai (enerģētika)</v>
      </c>
      <c r="C29" s="193">
        <f>Fin_progress!H233</f>
        <v>0</v>
      </c>
      <c r="D29" s="193">
        <f>Fin_progress!I233</f>
        <v>60000000</v>
      </c>
      <c r="E29" s="193">
        <f>Fin_progress!J233</f>
        <v>60000000</v>
      </c>
      <c r="F29" s="193"/>
      <c r="G29" s="193">
        <f>Fin_progress!L233</f>
        <v>60000000</v>
      </c>
      <c r="H29" s="194">
        <f>Fin_progress!M233</f>
        <v>0</v>
      </c>
      <c r="I29" s="194">
        <f>Fin_progress!N233</f>
        <v>0</v>
      </c>
      <c r="J29" s="194">
        <f>Fin_progress!O233</f>
        <v>0</v>
      </c>
      <c r="K29" s="193">
        <f>Fin_progress!P233</f>
        <v>1</v>
      </c>
      <c r="L29" s="193">
        <f>Fin_progress!S233</f>
        <v>60000000</v>
      </c>
      <c r="M29" s="194">
        <f>Fin_progress!T233</f>
        <v>0</v>
      </c>
      <c r="N29" s="194">
        <f>Fin_progress!U233</f>
        <v>0</v>
      </c>
      <c r="O29" s="194">
        <f>Fin_progress!V233</f>
        <v>0</v>
      </c>
      <c r="P29" s="193">
        <f>Fin_progress!W233</f>
        <v>1</v>
      </c>
      <c r="Q29" s="193">
        <f>Fin_progress!Z233</f>
        <v>60000000</v>
      </c>
      <c r="R29" s="194">
        <f>Fin_progress!AA233</f>
        <v>0</v>
      </c>
      <c r="S29" s="194">
        <f>Fin_progress!AB233</f>
        <v>0</v>
      </c>
      <c r="T29" s="194">
        <f>Fin_progress!AC233</f>
        <v>0</v>
      </c>
      <c r="U29" s="193">
        <f>Fin_progress!AD233</f>
        <v>1</v>
      </c>
      <c r="V29" s="193">
        <f>Fin_progress!AG233</f>
        <v>60000000</v>
      </c>
      <c r="W29" s="194">
        <f>Fin_progress!AH233</f>
        <v>0</v>
      </c>
      <c r="X29" s="194">
        <f>Fin_progress!AI233</f>
        <v>0</v>
      </c>
      <c r="Y29" s="194">
        <f>Fin_progress!AJ233</f>
        <v>0</v>
      </c>
    </row>
    <row r="30" spans="1:25" ht="45" customHeight="1" x14ac:dyDescent="0.25">
      <c r="A30" s="246" t="s">
        <v>1282</v>
      </c>
      <c r="B30" s="247" t="s">
        <v>1281</v>
      </c>
      <c r="C30" s="173">
        <f>Fin_progress!H235</f>
        <v>9238922</v>
      </c>
      <c r="D30" s="173">
        <f>Fin_progress!I235</f>
        <v>-7399760</v>
      </c>
      <c r="E30" s="173">
        <f>Fin_progress!J235</f>
        <v>1839162</v>
      </c>
      <c r="F30" s="173" t="s">
        <v>1282</v>
      </c>
      <c r="G30" s="173" t="s">
        <v>1282</v>
      </c>
      <c r="H30" s="174" t="s">
        <v>1282</v>
      </c>
      <c r="I30" s="174" t="s">
        <v>1282</v>
      </c>
      <c r="J30" s="174" t="s">
        <v>1282</v>
      </c>
      <c r="K30" s="173" t="s">
        <v>1282</v>
      </c>
      <c r="L30" s="173" t="s">
        <v>1282</v>
      </c>
      <c r="M30" s="174" t="s">
        <v>1282</v>
      </c>
      <c r="N30" s="174" t="s">
        <v>1282</v>
      </c>
      <c r="O30" s="174" t="s">
        <v>1282</v>
      </c>
      <c r="P30" s="173" t="s">
        <v>1282</v>
      </c>
      <c r="Q30" s="173" t="s">
        <v>1282</v>
      </c>
      <c r="R30" s="174" t="s">
        <v>1282</v>
      </c>
      <c r="S30" s="174" t="s">
        <v>1282</v>
      </c>
      <c r="T30" s="174" t="s">
        <v>1282</v>
      </c>
      <c r="U30" s="173" t="s">
        <v>1282</v>
      </c>
      <c r="V30" s="173" t="s">
        <v>1282</v>
      </c>
      <c r="W30" s="174" t="s">
        <v>1282</v>
      </c>
      <c r="X30" s="174" t="s">
        <v>1282</v>
      </c>
      <c r="Y30" s="174" t="s">
        <v>1282</v>
      </c>
    </row>
    <row r="31" spans="1:25" ht="45" customHeight="1" x14ac:dyDescent="0.25">
      <c r="A31" s="244" t="s">
        <v>1282</v>
      </c>
      <c r="B31" s="245" t="s">
        <v>1350</v>
      </c>
      <c r="C31" s="193">
        <f>Pasākumu_līmenis!F179</f>
        <v>2524642</v>
      </c>
      <c r="D31" s="193">
        <v>0</v>
      </c>
      <c r="E31" s="193">
        <f>C31+D31</f>
        <v>2524642</v>
      </c>
      <c r="F31" s="193">
        <v>0</v>
      </c>
      <c r="G31" s="193" t="s">
        <v>1282</v>
      </c>
      <c r="H31" s="194" t="s">
        <v>1282</v>
      </c>
      <c r="I31" s="194" t="s">
        <v>1282</v>
      </c>
      <c r="J31" s="194" t="s">
        <v>1282</v>
      </c>
      <c r="K31" s="193" t="s">
        <v>1282</v>
      </c>
      <c r="L31" s="193" t="s">
        <v>1282</v>
      </c>
      <c r="M31" s="194" t="s">
        <v>1282</v>
      </c>
      <c r="N31" s="194" t="s">
        <v>1282</v>
      </c>
      <c r="O31" s="194" t="s">
        <v>1282</v>
      </c>
      <c r="P31" s="193" t="s">
        <v>1282</v>
      </c>
      <c r="Q31" s="193" t="s">
        <v>1282</v>
      </c>
      <c r="R31" s="194" t="s">
        <v>1282</v>
      </c>
      <c r="S31" s="194" t="s">
        <v>1282</v>
      </c>
      <c r="T31" s="194" t="s">
        <v>1282</v>
      </c>
      <c r="U31" s="193" t="s">
        <v>1282</v>
      </c>
      <c r="V31" s="193" t="s">
        <v>1282</v>
      </c>
      <c r="W31" s="194" t="s">
        <v>1282</v>
      </c>
      <c r="X31" s="194" t="s">
        <v>1282</v>
      </c>
      <c r="Y31" s="194" t="s">
        <v>1282</v>
      </c>
    </row>
    <row r="32" spans="1:25" ht="45" customHeight="1" x14ac:dyDescent="0.25">
      <c r="A32" s="246" t="s">
        <v>1282</v>
      </c>
      <c r="B32" s="247" t="s">
        <v>1351</v>
      </c>
      <c r="C32" s="173">
        <f>Pasākumu_līmenis!F180</f>
        <v>0</v>
      </c>
      <c r="D32" s="173">
        <v>0</v>
      </c>
      <c r="E32" s="173">
        <f>C32+D32</f>
        <v>0</v>
      </c>
      <c r="F32" s="173">
        <v>0</v>
      </c>
      <c r="G32" s="173" t="s">
        <v>1282</v>
      </c>
      <c r="H32" s="174" t="s">
        <v>1282</v>
      </c>
      <c r="I32" s="174" t="s">
        <v>1282</v>
      </c>
      <c r="J32" s="174" t="s">
        <v>1282</v>
      </c>
      <c r="K32" s="173" t="s">
        <v>1282</v>
      </c>
      <c r="L32" s="173" t="s">
        <v>1282</v>
      </c>
      <c r="M32" s="174" t="s">
        <v>1282</v>
      </c>
      <c r="N32" s="174" t="s">
        <v>1282</v>
      </c>
      <c r="O32" s="174" t="s">
        <v>1282</v>
      </c>
      <c r="P32" s="173" t="s">
        <v>1282</v>
      </c>
      <c r="Q32" s="173" t="s">
        <v>1282</v>
      </c>
      <c r="R32" s="174" t="s">
        <v>1282</v>
      </c>
      <c r="S32" s="174" t="s">
        <v>1282</v>
      </c>
      <c r="T32" s="174" t="s">
        <v>1282</v>
      </c>
      <c r="U32" s="173" t="s">
        <v>1282</v>
      </c>
      <c r="V32" s="173" t="s">
        <v>1282</v>
      </c>
      <c r="W32" s="174" t="s">
        <v>1282</v>
      </c>
      <c r="X32" s="174" t="s">
        <v>1282</v>
      </c>
      <c r="Y32" s="174" t="s">
        <v>1282</v>
      </c>
    </row>
    <row r="33" spans="1:27" ht="6" customHeight="1" x14ac:dyDescent="0.25">
      <c r="A33" s="122"/>
      <c r="B33" s="122"/>
      <c r="C33" s="122"/>
      <c r="D33" s="122"/>
      <c r="E33" s="122"/>
      <c r="F33" s="122"/>
      <c r="G33" s="122"/>
      <c r="H33" s="123"/>
      <c r="I33" s="123"/>
      <c r="J33" s="123"/>
      <c r="K33" s="122"/>
      <c r="L33" s="122"/>
      <c r="M33" s="123"/>
      <c r="N33" s="123"/>
      <c r="O33" s="123"/>
      <c r="P33" s="122"/>
      <c r="Q33" s="122"/>
      <c r="R33" s="123"/>
      <c r="S33" s="123"/>
      <c r="T33" s="123"/>
      <c r="U33" s="122"/>
      <c r="V33" s="122"/>
      <c r="W33" s="123"/>
      <c r="X33" s="123"/>
      <c r="Y33" s="123"/>
    </row>
    <row r="35" spans="1:27" ht="15" customHeight="1" x14ac:dyDescent="0.3">
      <c r="A35" s="497" t="s">
        <v>1256</v>
      </c>
      <c r="B35" s="497"/>
      <c r="C35" s="497"/>
      <c r="D35" s="497"/>
      <c r="E35" s="497"/>
      <c r="F35" s="497"/>
      <c r="G35" s="497"/>
      <c r="H35" s="497"/>
      <c r="I35" s="497"/>
      <c r="J35" s="497"/>
      <c r="K35" s="497"/>
      <c r="L35" s="497"/>
      <c r="M35" s="497"/>
      <c r="N35" s="497"/>
      <c r="O35" s="497"/>
      <c r="P35" s="497"/>
      <c r="Q35" s="497"/>
      <c r="R35" s="497"/>
      <c r="S35" s="497"/>
      <c r="T35" s="497"/>
      <c r="U35" s="497"/>
      <c r="V35" s="497"/>
      <c r="W35" s="497"/>
      <c r="X35" s="497"/>
      <c r="Y35" s="497"/>
      <c r="Z35" s="141"/>
      <c r="AA35" s="141"/>
    </row>
    <row r="36" spans="1:27" ht="15" customHeight="1" x14ac:dyDescent="0.3">
      <c r="A36" s="497"/>
      <c r="B36" s="497"/>
      <c r="C36" s="497"/>
      <c r="D36" s="497"/>
      <c r="E36" s="497"/>
      <c r="F36" s="497"/>
      <c r="G36" s="497"/>
      <c r="H36" s="497"/>
      <c r="I36" s="497"/>
      <c r="J36" s="497"/>
      <c r="K36" s="497"/>
      <c r="L36" s="497"/>
      <c r="M36" s="497"/>
      <c r="N36" s="497"/>
      <c r="O36" s="497"/>
      <c r="P36" s="497"/>
      <c r="Q36" s="497"/>
      <c r="R36" s="497"/>
      <c r="S36" s="497"/>
      <c r="T36" s="497"/>
      <c r="U36" s="497"/>
      <c r="V36" s="497"/>
      <c r="W36" s="497"/>
      <c r="X36" s="497"/>
      <c r="Y36" s="497"/>
      <c r="Z36" s="141"/>
      <c r="AA36" s="141"/>
    </row>
    <row r="37" spans="1:27" ht="15" customHeight="1" x14ac:dyDescent="0.3">
      <c r="A37" s="497"/>
      <c r="B37" s="497"/>
      <c r="C37" s="497"/>
      <c r="D37" s="497"/>
      <c r="E37" s="497"/>
      <c r="F37" s="497"/>
      <c r="G37" s="497"/>
      <c r="H37" s="497"/>
      <c r="I37" s="497"/>
      <c r="J37" s="497"/>
      <c r="K37" s="497"/>
      <c r="L37" s="497"/>
      <c r="M37" s="497"/>
      <c r="N37" s="497"/>
      <c r="O37" s="497"/>
      <c r="P37" s="497"/>
      <c r="Q37" s="497"/>
      <c r="R37" s="497"/>
      <c r="S37" s="497"/>
      <c r="T37" s="497"/>
      <c r="U37" s="497"/>
      <c r="V37" s="497"/>
      <c r="W37" s="497"/>
      <c r="X37" s="497"/>
      <c r="Y37" s="497"/>
      <c r="Z37" s="141"/>
      <c r="AA37" s="141"/>
    </row>
    <row r="38" spans="1:27" ht="48.75" customHeight="1" x14ac:dyDescent="0.3">
      <c r="A38" s="497"/>
      <c r="B38" s="497"/>
      <c r="C38" s="497"/>
      <c r="D38" s="497"/>
      <c r="E38" s="497"/>
      <c r="F38" s="497"/>
      <c r="G38" s="497"/>
      <c r="H38" s="497"/>
      <c r="I38" s="497"/>
      <c r="J38" s="497"/>
      <c r="K38" s="497"/>
      <c r="L38" s="497"/>
      <c r="M38" s="497"/>
      <c r="N38" s="497"/>
      <c r="O38" s="497"/>
      <c r="P38" s="497"/>
      <c r="Q38" s="497"/>
      <c r="R38" s="497"/>
      <c r="S38" s="497"/>
      <c r="T38" s="497"/>
      <c r="U38" s="497"/>
      <c r="V38" s="497"/>
      <c r="W38" s="497"/>
      <c r="X38" s="497"/>
      <c r="Y38" s="497"/>
      <c r="Z38" s="141"/>
      <c r="AA38" s="141"/>
    </row>
    <row r="41" spans="1:27" ht="15.75" customHeight="1" x14ac:dyDescent="0.25">
      <c r="A41" s="504"/>
      <c r="B41" s="507" t="s">
        <v>1297</v>
      </c>
      <c r="C41" s="507"/>
      <c r="D41" s="507"/>
      <c r="E41" s="508" t="s">
        <v>1298</v>
      </c>
      <c r="F41" s="508"/>
      <c r="G41" s="508"/>
      <c r="H41" s="313" t="s">
        <v>1299</v>
      </c>
      <c r="I41" s="313" t="s">
        <v>1299</v>
      </c>
    </row>
    <row r="42" spans="1:27" ht="15.75" x14ac:dyDescent="0.25">
      <c r="A42" s="505"/>
      <c r="B42" s="309" t="s">
        <v>1300</v>
      </c>
      <c r="C42" s="309" t="s">
        <v>1301</v>
      </c>
      <c r="D42" s="309" t="s">
        <v>402</v>
      </c>
      <c r="E42" s="310" t="s">
        <v>1300</v>
      </c>
      <c r="F42" s="310"/>
      <c r="G42" s="310" t="s">
        <v>1301</v>
      </c>
      <c r="H42" s="310" t="s">
        <v>402</v>
      </c>
      <c r="I42" s="313"/>
      <c r="K42" s="108"/>
      <c r="M42"/>
      <c r="P42" s="108"/>
      <c r="R42"/>
      <c r="U42" s="108"/>
      <c r="W42"/>
      <c r="Z42" s="108"/>
    </row>
    <row r="43" spans="1:27" ht="15.75" x14ac:dyDescent="0.25">
      <c r="A43" s="506"/>
      <c r="B43" s="311">
        <f>SUM(B44:B55)</f>
        <v>4408500704</v>
      </c>
      <c r="C43" s="311">
        <f t="shared" ref="C43" si="0">SUM(C44:C55)</f>
        <v>164193688</v>
      </c>
      <c r="D43" s="311">
        <f>SUM(D44:D55)</f>
        <v>4572694392</v>
      </c>
      <c r="E43" s="311">
        <f t="shared" ref="E43:G43" si="1">SUM(E44:E55)</f>
        <v>9238922</v>
      </c>
      <c r="F43" s="311">
        <f t="shared" si="1"/>
        <v>0</v>
      </c>
      <c r="G43" s="311">
        <f t="shared" si="1"/>
        <v>-7399760</v>
      </c>
      <c r="H43" s="311">
        <f>G43+E43</f>
        <v>1839162</v>
      </c>
      <c r="I43" s="311">
        <f>B43+E43</f>
        <v>4417739626</v>
      </c>
      <c r="K43" s="108"/>
      <c r="M43"/>
      <c r="P43" s="108"/>
      <c r="R43"/>
      <c r="U43" s="108"/>
      <c r="W43"/>
      <c r="Z43" s="108"/>
    </row>
    <row r="44" spans="1:27" ht="15.75" x14ac:dyDescent="0.25">
      <c r="A44" s="312">
        <v>1</v>
      </c>
      <c r="B44" s="311">
        <f t="shared" ref="B44:B55" si="2">C15</f>
        <v>448221139</v>
      </c>
      <c r="C44" s="311">
        <f t="shared" ref="C44:D44" si="3">D15</f>
        <v>2927032</v>
      </c>
      <c r="D44" s="311">
        <f t="shared" si="3"/>
        <v>451148171</v>
      </c>
      <c r="E44" s="311">
        <v>0</v>
      </c>
      <c r="F44" s="311"/>
      <c r="G44" s="311">
        <v>0</v>
      </c>
      <c r="H44" s="311">
        <f>G44+E44</f>
        <v>0</v>
      </c>
      <c r="I44" s="311">
        <f>B44+E44</f>
        <v>448221139</v>
      </c>
      <c r="K44" s="108"/>
      <c r="M44"/>
      <c r="P44" s="108"/>
      <c r="R44"/>
      <c r="U44" s="108"/>
      <c r="W44"/>
      <c r="Z44" s="108"/>
    </row>
    <row r="45" spans="1:27" ht="15.75" x14ac:dyDescent="0.25">
      <c r="A45" s="312">
        <v>2</v>
      </c>
      <c r="B45" s="311">
        <f t="shared" si="2"/>
        <v>171083829</v>
      </c>
      <c r="C45" s="311">
        <f t="shared" ref="C45:D55" si="4">D16</f>
        <v>0</v>
      </c>
      <c r="D45" s="311">
        <f t="shared" si="4"/>
        <v>171083829</v>
      </c>
      <c r="E45" s="311">
        <v>0</v>
      </c>
      <c r="F45" s="311"/>
      <c r="G45" s="311">
        <v>0</v>
      </c>
      <c r="H45" s="311">
        <f t="shared" ref="H45:H55" si="5">G45+E45</f>
        <v>0</v>
      </c>
      <c r="I45" s="311">
        <f t="shared" ref="I45:I55" si="6">B45+E45</f>
        <v>171083829</v>
      </c>
      <c r="K45" s="108"/>
      <c r="M45"/>
      <c r="P45" s="108"/>
      <c r="R45"/>
      <c r="U45" s="108"/>
      <c r="W45"/>
      <c r="Z45" s="108"/>
    </row>
    <row r="46" spans="1:27" ht="15.75" x14ac:dyDescent="0.25">
      <c r="A46" s="312">
        <v>3</v>
      </c>
      <c r="B46" s="311">
        <f t="shared" si="2"/>
        <v>370305153</v>
      </c>
      <c r="C46" s="311">
        <f t="shared" si="4"/>
        <v>290005</v>
      </c>
      <c r="D46" s="311">
        <f t="shared" si="4"/>
        <v>370595158</v>
      </c>
      <c r="E46" s="311">
        <v>0</v>
      </c>
      <c r="F46" s="311"/>
      <c r="G46" s="311">
        <v>0</v>
      </c>
      <c r="H46" s="311">
        <f t="shared" si="5"/>
        <v>0</v>
      </c>
      <c r="I46" s="311">
        <f t="shared" si="6"/>
        <v>370305153</v>
      </c>
      <c r="K46" s="108"/>
      <c r="M46"/>
      <c r="P46" s="108"/>
      <c r="R46"/>
      <c r="U46" s="108"/>
      <c r="W46"/>
      <c r="Z46" s="108"/>
    </row>
    <row r="47" spans="1:27" ht="15.75" x14ac:dyDescent="0.25">
      <c r="A47" s="312">
        <v>4</v>
      </c>
      <c r="B47" s="311">
        <f t="shared" si="2"/>
        <v>645831597</v>
      </c>
      <c r="C47" s="311">
        <f t="shared" si="4"/>
        <v>61392669</v>
      </c>
      <c r="D47" s="311">
        <f t="shared" si="4"/>
        <v>707224266</v>
      </c>
      <c r="E47" s="311">
        <f>Pasākumu_līmenis!F192</f>
        <v>7399760</v>
      </c>
      <c r="F47" s="311"/>
      <c r="G47" s="311">
        <f>Pasākumu_līmenis!G192</f>
        <v>-7399760</v>
      </c>
      <c r="H47" s="311">
        <f t="shared" si="5"/>
        <v>0</v>
      </c>
      <c r="I47" s="311">
        <f t="shared" si="6"/>
        <v>653231357</v>
      </c>
      <c r="K47" s="108"/>
      <c r="M47"/>
      <c r="P47" s="108"/>
      <c r="R47"/>
      <c r="U47" s="108"/>
      <c r="W47"/>
      <c r="Z47" s="108"/>
    </row>
    <row r="48" spans="1:27" ht="15.75" x14ac:dyDescent="0.25">
      <c r="A48" s="312">
        <v>5</v>
      </c>
      <c r="B48" s="311">
        <f t="shared" si="2"/>
        <v>581390235</v>
      </c>
      <c r="C48" s="311">
        <f t="shared" si="4"/>
        <v>78662967</v>
      </c>
      <c r="D48" s="311">
        <f t="shared" si="4"/>
        <v>660053202</v>
      </c>
      <c r="E48" s="311">
        <f>Pasākumu_līmenis!F191</f>
        <v>1059959</v>
      </c>
      <c r="F48" s="311"/>
      <c r="G48" s="311">
        <v>0</v>
      </c>
      <c r="H48" s="311">
        <f t="shared" si="5"/>
        <v>1059959</v>
      </c>
      <c r="I48" s="311">
        <f t="shared" si="6"/>
        <v>582450194</v>
      </c>
      <c r="K48" s="108"/>
      <c r="M48"/>
      <c r="P48" s="108"/>
      <c r="R48"/>
      <c r="U48" s="108"/>
      <c r="W48"/>
      <c r="Z48" s="108"/>
    </row>
    <row r="49" spans="1:26" ht="15.75" x14ac:dyDescent="0.25">
      <c r="A49" s="312">
        <v>6</v>
      </c>
      <c r="B49" s="311">
        <f t="shared" si="2"/>
        <v>886835593</v>
      </c>
      <c r="C49" s="311">
        <f t="shared" si="4"/>
        <v>0</v>
      </c>
      <c r="D49" s="311">
        <f t="shared" si="4"/>
        <v>886835593</v>
      </c>
      <c r="E49" s="311">
        <v>0</v>
      </c>
      <c r="F49" s="311"/>
      <c r="G49" s="311">
        <v>0</v>
      </c>
      <c r="H49" s="311">
        <f t="shared" si="5"/>
        <v>0</v>
      </c>
      <c r="I49" s="311">
        <f t="shared" si="6"/>
        <v>886835593</v>
      </c>
      <c r="K49" s="108"/>
      <c r="M49"/>
      <c r="P49" s="108"/>
      <c r="R49"/>
      <c r="U49" s="108"/>
      <c r="W49"/>
      <c r="Z49" s="108"/>
    </row>
    <row r="50" spans="1:26" ht="15.75" x14ac:dyDescent="0.25">
      <c r="A50" s="312">
        <v>7</v>
      </c>
      <c r="B50" s="311">
        <f t="shared" si="2"/>
        <v>163481471</v>
      </c>
      <c r="C50" s="311">
        <f t="shared" si="4"/>
        <v>0</v>
      </c>
      <c r="D50" s="311">
        <f t="shared" si="4"/>
        <v>163481471</v>
      </c>
      <c r="E50" s="311">
        <v>0</v>
      </c>
      <c r="F50" s="311"/>
      <c r="G50" s="311">
        <v>0</v>
      </c>
      <c r="H50" s="311">
        <f t="shared" si="5"/>
        <v>0</v>
      </c>
      <c r="I50" s="311">
        <f t="shared" si="6"/>
        <v>163481471</v>
      </c>
      <c r="K50" s="108"/>
      <c r="M50"/>
      <c r="P50" s="108"/>
      <c r="R50"/>
      <c r="U50" s="108"/>
      <c r="W50"/>
      <c r="Z50" s="108"/>
    </row>
    <row r="51" spans="1:26" ht="15.75" x14ac:dyDescent="0.25">
      <c r="A51" s="312">
        <v>8</v>
      </c>
      <c r="B51" s="311">
        <f t="shared" si="2"/>
        <v>523940298</v>
      </c>
      <c r="C51" s="311">
        <f t="shared" si="4"/>
        <v>5607771</v>
      </c>
      <c r="D51" s="311">
        <f t="shared" si="4"/>
        <v>529548069</v>
      </c>
      <c r="E51" s="311">
        <f>Pasākumu_līmenis!F196+Pasākumu_līmenis!F197</f>
        <v>779203</v>
      </c>
      <c r="F51" s="311"/>
      <c r="G51" s="311">
        <v>0</v>
      </c>
      <c r="H51" s="311">
        <f>G51+E51</f>
        <v>779203</v>
      </c>
      <c r="I51" s="311">
        <f t="shared" si="6"/>
        <v>524719501</v>
      </c>
      <c r="K51" s="108"/>
      <c r="M51"/>
      <c r="P51" s="108"/>
      <c r="R51"/>
      <c r="U51" s="108"/>
      <c r="W51"/>
      <c r="Z51" s="108"/>
    </row>
    <row r="52" spans="1:26" ht="15.75" x14ac:dyDescent="0.25">
      <c r="A52" s="312">
        <v>9</v>
      </c>
      <c r="B52" s="311">
        <f t="shared" si="2"/>
        <v>516095086</v>
      </c>
      <c r="C52" s="311">
        <f t="shared" si="4"/>
        <v>15313244</v>
      </c>
      <c r="D52" s="311">
        <f t="shared" si="4"/>
        <v>531408330</v>
      </c>
      <c r="E52" s="311">
        <f>Pasākumu_līmenis!F194</f>
        <v>0</v>
      </c>
      <c r="F52" s="311"/>
      <c r="G52" s="311">
        <v>0</v>
      </c>
      <c r="H52" s="311">
        <f t="shared" si="5"/>
        <v>0</v>
      </c>
      <c r="I52" s="311">
        <f t="shared" si="6"/>
        <v>516095086</v>
      </c>
      <c r="K52" s="108"/>
      <c r="M52"/>
      <c r="P52" s="108"/>
      <c r="R52"/>
      <c r="U52" s="108"/>
      <c r="W52"/>
      <c r="Z52" s="108"/>
    </row>
    <row r="53" spans="1:26" ht="15.75" x14ac:dyDescent="0.25">
      <c r="A53" s="312">
        <v>10</v>
      </c>
      <c r="B53" s="311">
        <f t="shared" si="2"/>
        <v>21420040</v>
      </c>
      <c r="C53" s="311">
        <f t="shared" si="4"/>
        <v>0</v>
      </c>
      <c r="D53" s="311">
        <f t="shared" si="4"/>
        <v>21420040</v>
      </c>
      <c r="E53" s="311">
        <v>0</v>
      </c>
      <c r="F53" s="311"/>
      <c r="G53" s="311">
        <v>0</v>
      </c>
      <c r="H53" s="311">
        <f t="shared" si="5"/>
        <v>0</v>
      </c>
      <c r="I53" s="311">
        <f t="shared" si="6"/>
        <v>21420040</v>
      </c>
      <c r="K53" s="108"/>
      <c r="M53"/>
      <c r="P53" s="108"/>
      <c r="R53"/>
      <c r="U53" s="108"/>
      <c r="W53"/>
      <c r="Z53" s="108"/>
    </row>
    <row r="54" spans="1:26" ht="15.75" x14ac:dyDescent="0.25">
      <c r="A54" s="312">
        <v>11</v>
      </c>
      <c r="B54" s="311">
        <f t="shared" si="2"/>
        <v>39180553</v>
      </c>
      <c r="C54" s="311">
        <f t="shared" si="4"/>
        <v>0</v>
      </c>
      <c r="D54" s="311">
        <f t="shared" si="4"/>
        <v>39180553</v>
      </c>
      <c r="E54" s="311">
        <v>0</v>
      </c>
      <c r="F54" s="311"/>
      <c r="G54" s="311">
        <v>0</v>
      </c>
      <c r="H54" s="311">
        <f t="shared" si="5"/>
        <v>0</v>
      </c>
      <c r="I54" s="311">
        <f t="shared" si="6"/>
        <v>39180553</v>
      </c>
      <c r="K54" s="108"/>
      <c r="M54"/>
      <c r="P54" s="108"/>
      <c r="R54"/>
      <c r="U54" s="108"/>
      <c r="W54"/>
      <c r="Z54" s="108"/>
    </row>
    <row r="55" spans="1:26" ht="15.75" x14ac:dyDescent="0.25">
      <c r="A55" s="312">
        <v>12</v>
      </c>
      <c r="B55" s="311">
        <f t="shared" si="2"/>
        <v>40715710</v>
      </c>
      <c r="C55" s="311">
        <f t="shared" si="4"/>
        <v>0</v>
      </c>
      <c r="D55" s="311">
        <f t="shared" si="4"/>
        <v>40715710</v>
      </c>
      <c r="E55" s="311">
        <v>0</v>
      </c>
      <c r="F55" s="311"/>
      <c r="G55" s="311">
        <v>0</v>
      </c>
      <c r="H55" s="311">
        <f t="shared" si="5"/>
        <v>0</v>
      </c>
      <c r="I55" s="311">
        <f t="shared" si="6"/>
        <v>40715710</v>
      </c>
      <c r="K55" s="108"/>
      <c r="M55"/>
      <c r="P55" s="108"/>
      <c r="R55"/>
      <c r="U55" s="108"/>
      <c r="W55"/>
      <c r="Z55" s="108"/>
    </row>
    <row r="56" spans="1:26" ht="15.75" x14ac:dyDescent="0.25">
      <c r="A56" s="314">
        <v>15</v>
      </c>
      <c r="B56" s="311">
        <f>C29</f>
        <v>0</v>
      </c>
      <c r="C56" s="311">
        <f>D29</f>
        <v>60000000</v>
      </c>
      <c r="D56" s="311">
        <f>B56+C56</f>
        <v>60000000</v>
      </c>
      <c r="E56" s="311">
        <v>0</v>
      </c>
      <c r="F56" s="314"/>
      <c r="G56" s="315">
        <v>0</v>
      </c>
      <c r="H56" s="311">
        <f t="shared" ref="H56" si="7">E56+G56</f>
        <v>0</v>
      </c>
      <c r="I56" s="311">
        <f t="shared" ref="I56" si="8">B56+E56</f>
        <v>0</v>
      </c>
      <c r="K56" s="108"/>
      <c r="M56"/>
      <c r="P56" s="108"/>
      <c r="R56"/>
      <c r="U56" s="108"/>
      <c r="W56"/>
      <c r="Z56" s="108"/>
    </row>
    <row r="57" spans="1:26" ht="15.75" x14ac:dyDescent="0.25">
      <c r="A57" s="509" t="s">
        <v>1302</v>
      </c>
      <c r="B57" s="509"/>
      <c r="C57" s="509"/>
      <c r="D57" s="509"/>
      <c r="E57" s="311">
        <f>C30</f>
        <v>9238922</v>
      </c>
      <c r="F57" s="311"/>
      <c r="G57" s="311">
        <f>D30</f>
        <v>-7399760</v>
      </c>
      <c r="H57" s="311">
        <f>G57+E57</f>
        <v>1839162</v>
      </c>
      <c r="I57" s="311">
        <f>B57+E57</f>
        <v>9238922</v>
      </c>
      <c r="K57" s="108"/>
      <c r="M57"/>
      <c r="P57" s="108"/>
      <c r="R57"/>
      <c r="U57" s="108"/>
      <c r="W57"/>
      <c r="Z57" s="108"/>
    </row>
    <row r="58" spans="1:26" ht="15.75" x14ac:dyDescent="0.25">
      <c r="A58" s="502" t="s">
        <v>1305</v>
      </c>
      <c r="B58" s="502"/>
      <c r="C58" s="502"/>
      <c r="D58" s="503"/>
      <c r="E58" s="376">
        <f>E43-E57</f>
        <v>0</v>
      </c>
      <c r="F58" s="377"/>
      <c r="G58" s="376">
        <f>G43-G57</f>
        <v>0</v>
      </c>
      <c r="H58" s="376">
        <f>H43-H57</f>
        <v>0</v>
      </c>
      <c r="I58" s="311"/>
      <c r="K58" s="108"/>
      <c r="M58"/>
      <c r="P58" s="108"/>
      <c r="R58"/>
      <c r="U58" s="108"/>
      <c r="W58"/>
      <c r="Z58" s="108"/>
    </row>
    <row r="59" spans="1:26" ht="15.75" x14ac:dyDescent="0.25">
      <c r="A59" s="314"/>
      <c r="B59" s="309" t="s">
        <v>1345</v>
      </c>
      <c r="C59" s="309" t="s">
        <v>1301</v>
      </c>
      <c r="D59" s="309" t="s">
        <v>402</v>
      </c>
      <c r="E59" s="310" t="s">
        <v>1345</v>
      </c>
      <c r="F59" s="310" t="s">
        <v>1345</v>
      </c>
      <c r="G59" s="310" t="s">
        <v>1301</v>
      </c>
      <c r="H59" s="310" t="s">
        <v>402</v>
      </c>
      <c r="I59" s="311"/>
    </row>
    <row r="60" spans="1:26" ht="15.75" x14ac:dyDescent="0.25">
      <c r="A60" s="309"/>
      <c r="B60" s="311">
        <f>B61+B62</f>
        <v>220412521</v>
      </c>
      <c r="C60" s="311">
        <f t="shared" ref="C60" si="9">C61+C62</f>
        <v>1</v>
      </c>
      <c r="D60" s="311">
        <f>D61+D62</f>
        <v>220412522</v>
      </c>
      <c r="E60" s="311">
        <f t="shared" ref="E60:I60" si="10">E61+E62</f>
        <v>2524642</v>
      </c>
      <c r="F60" s="311">
        <f t="shared" si="10"/>
        <v>0</v>
      </c>
      <c r="G60" s="311">
        <f t="shared" si="10"/>
        <v>0</v>
      </c>
      <c r="H60" s="311">
        <f t="shared" si="10"/>
        <v>2524642</v>
      </c>
      <c r="I60" s="311">
        <f t="shared" si="10"/>
        <v>222937163</v>
      </c>
    </row>
    <row r="61" spans="1:26" ht="15.75" x14ac:dyDescent="0.25">
      <c r="A61" s="314">
        <v>13</v>
      </c>
      <c r="B61" s="311">
        <f>C27</f>
        <v>197923434</v>
      </c>
      <c r="C61" s="311">
        <f>D27</f>
        <v>1</v>
      </c>
      <c r="D61" s="311">
        <f>B61+C61</f>
        <v>197923435</v>
      </c>
      <c r="E61" s="311">
        <f>SUM(Pasākumu_līmenis!F200:F204)</f>
        <v>2524642</v>
      </c>
      <c r="F61" s="314"/>
      <c r="G61" s="315">
        <f>SUM(Pasākumu_līmenis!G200:FG204)</f>
        <v>0</v>
      </c>
      <c r="H61" s="311">
        <f>E61+G61</f>
        <v>2524642</v>
      </c>
      <c r="I61" s="311">
        <f>B61+E61</f>
        <v>200448076</v>
      </c>
    </row>
    <row r="62" spans="1:26" ht="15.75" x14ac:dyDescent="0.25">
      <c r="A62" s="314">
        <v>14</v>
      </c>
      <c r="B62" s="311">
        <f>C28</f>
        <v>22489087</v>
      </c>
      <c r="C62" s="311">
        <f>D28</f>
        <v>0</v>
      </c>
      <c r="D62" s="311">
        <f>B62+C62</f>
        <v>22489087</v>
      </c>
      <c r="E62" s="311">
        <v>0</v>
      </c>
      <c r="F62" s="314"/>
      <c r="G62" s="315">
        <v>0</v>
      </c>
      <c r="H62" s="311">
        <f t="shared" ref="H62" si="11">E62+G62</f>
        <v>0</v>
      </c>
      <c r="I62" s="311">
        <f t="shared" ref="I62" si="12">B62+E62</f>
        <v>22489087</v>
      </c>
    </row>
  </sheetData>
  <mergeCells count="13">
    <mergeCell ref="C1:Y1"/>
    <mergeCell ref="A35:Y38"/>
    <mergeCell ref="V3:Y3"/>
    <mergeCell ref="A3:B3"/>
    <mergeCell ref="G3:K3"/>
    <mergeCell ref="L3:P3"/>
    <mergeCell ref="Q3:U3"/>
    <mergeCell ref="C3:F3"/>
    <mergeCell ref="A58:D58"/>
    <mergeCell ref="A41:A43"/>
    <mergeCell ref="B41:D41"/>
    <mergeCell ref="E41:G41"/>
    <mergeCell ref="A57:D57"/>
  </mergeCells>
  <pageMargins left="0.23622047244094491" right="0.23622047244094491" top="0.74803149606299213" bottom="0.74803149606299213" header="0.31496062992125984" footer="0.31496062992125984"/>
  <pageSetup paperSize="9" scale="3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59999389629810485"/>
    <pageSetUpPr fitToPage="1"/>
  </sheetPr>
  <dimension ref="A1:AA85"/>
  <sheetViews>
    <sheetView zoomScale="80" zoomScaleNormal="80" workbookViewId="0">
      <selection activeCell="J70" sqref="J70"/>
    </sheetView>
  </sheetViews>
  <sheetFormatPr defaultRowHeight="15" x14ac:dyDescent="0.25"/>
  <cols>
    <col min="1" max="1" width="38.5703125" customWidth="1"/>
    <col min="2" max="2" width="21.5703125" customWidth="1"/>
    <col min="3" max="4" width="18.42578125" customWidth="1"/>
    <col min="5" max="5" width="21.5703125" hidden="1" customWidth="1"/>
    <col min="6" max="6" width="18.42578125" customWidth="1"/>
    <col min="7" max="7" width="15.5703125" customWidth="1"/>
    <col min="8" max="8" width="19.42578125" customWidth="1"/>
    <col min="9" max="9" width="16.42578125" customWidth="1"/>
    <col min="10" max="10" width="18.5703125" customWidth="1"/>
    <col min="11" max="12" width="17.5703125" customWidth="1"/>
    <col min="13" max="13" width="17.42578125" customWidth="1"/>
    <col min="14" max="14" width="17.5703125" customWidth="1"/>
    <col min="16" max="16" width="14.42578125" bestFit="1" customWidth="1"/>
    <col min="17" max="17" width="12.42578125" bestFit="1" customWidth="1"/>
  </cols>
  <sheetData>
    <row r="1" spans="1:27" ht="28.5" customHeight="1" x14ac:dyDescent="0.25">
      <c r="A1" s="267" t="str">
        <f>Pasākumu_līmenis!A2</f>
        <v>Sagatavots 15.01.2026.</v>
      </c>
      <c r="B1" s="496" t="str">
        <f ca="1">Pasākumu_līmenis!A1</f>
        <v>2014.-2020. gada plānošanas perioda ES fondu ieviešanas statuss (ES fondu daļa, EUR) uz 31.12.2025</v>
      </c>
      <c r="C1" s="496"/>
      <c r="D1" s="496"/>
      <c r="E1" s="496"/>
      <c r="F1" s="496"/>
      <c r="G1" s="496"/>
      <c r="H1" s="496"/>
      <c r="I1" s="496"/>
      <c r="J1" s="496"/>
      <c r="K1" s="496"/>
      <c r="L1" s="496"/>
      <c r="M1" s="496"/>
    </row>
    <row r="2" spans="1:27" ht="12" customHeight="1" x14ac:dyDescent="0.35">
      <c r="A2" s="514"/>
      <c r="B2" s="514"/>
      <c r="C2" s="514"/>
      <c r="D2" s="514"/>
      <c r="E2" s="514"/>
      <c r="F2" s="514"/>
      <c r="G2" s="514"/>
      <c r="H2" s="514"/>
      <c r="I2" s="514"/>
      <c r="J2" s="514"/>
      <c r="K2" s="514"/>
      <c r="L2" s="514"/>
      <c r="M2" s="514"/>
    </row>
    <row r="3" spans="1:27" ht="16.5" customHeight="1" thickBot="1" x14ac:dyDescent="0.35">
      <c r="A3" s="515" t="s">
        <v>420</v>
      </c>
      <c r="B3" s="515"/>
      <c r="C3" s="515"/>
      <c r="D3" s="515"/>
      <c r="E3" s="515"/>
      <c r="F3" s="515"/>
      <c r="G3" s="515"/>
      <c r="H3" s="515"/>
      <c r="I3" s="515"/>
      <c r="J3" s="515"/>
      <c r="K3" s="515"/>
      <c r="L3" s="515"/>
      <c r="M3" s="515"/>
    </row>
    <row r="4" spans="1:27" ht="53.25" customHeight="1" x14ac:dyDescent="0.25">
      <c r="A4" s="522" t="s">
        <v>464</v>
      </c>
      <c r="B4" s="524" t="s">
        <v>156</v>
      </c>
      <c r="C4" s="525"/>
      <c r="D4" s="525"/>
      <c r="E4" s="526"/>
      <c r="F4" s="519" t="s">
        <v>615</v>
      </c>
      <c r="G4" s="519"/>
      <c r="H4" s="520" t="s">
        <v>150</v>
      </c>
      <c r="I4" s="520"/>
      <c r="J4" s="520" t="s">
        <v>151</v>
      </c>
      <c r="K4" s="520"/>
      <c r="L4" s="520" t="s">
        <v>155</v>
      </c>
      <c r="M4" s="521"/>
    </row>
    <row r="5" spans="1:27" ht="78.75" customHeight="1" x14ac:dyDescent="0.25">
      <c r="A5" s="523"/>
      <c r="B5" s="68" t="s">
        <v>419</v>
      </c>
      <c r="C5" s="14" t="s">
        <v>158</v>
      </c>
      <c r="D5" s="14" t="s">
        <v>401</v>
      </c>
      <c r="E5" s="14" t="str">
        <f>Pasākumu_līmenis!I4</f>
        <v>Snieguma rezerve atbilstoši MK noteikumiem,
ES fondu finansējums (pēdējo reizi aktualizēta 08.06.2020)</v>
      </c>
      <c r="F5" s="14" t="s">
        <v>406</v>
      </c>
      <c r="G5" s="14" t="s">
        <v>407</v>
      </c>
      <c r="H5" s="14" t="s">
        <v>406</v>
      </c>
      <c r="I5" s="14" t="s">
        <v>408</v>
      </c>
      <c r="J5" s="14" t="s">
        <v>406</v>
      </c>
      <c r="K5" s="14" t="s">
        <v>160</v>
      </c>
      <c r="L5" s="14" t="s">
        <v>410</v>
      </c>
      <c r="M5" s="58" t="s">
        <v>407</v>
      </c>
    </row>
    <row r="6" spans="1:27" ht="19.5" thickBot="1" x14ac:dyDescent="0.3">
      <c r="A6" s="63" t="s">
        <v>4</v>
      </c>
      <c r="B6" s="133" t="s">
        <v>12</v>
      </c>
      <c r="C6" s="134" t="s">
        <v>10</v>
      </c>
      <c r="D6" s="134" t="s">
        <v>16</v>
      </c>
      <c r="E6" s="134" t="s">
        <v>614</v>
      </c>
      <c r="F6" s="134" t="s">
        <v>18</v>
      </c>
      <c r="G6" s="16" t="s">
        <v>373</v>
      </c>
      <c r="H6" s="16">
        <v>4</v>
      </c>
      <c r="I6" s="16" t="s">
        <v>374</v>
      </c>
      <c r="J6" s="16">
        <v>5</v>
      </c>
      <c r="K6" s="16" t="s">
        <v>375</v>
      </c>
      <c r="L6" s="16" t="s">
        <v>71</v>
      </c>
      <c r="M6" s="17" t="s">
        <v>376</v>
      </c>
    </row>
    <row r="7" spans="1:27" ht="19.5" thickBot="1" x14ac:dyDescent="0.3">
      <c r="A7" s="83" t="s">
        <v>402</v>
      </c>
      <c r="B7" s="77">
        <f>B9+B10+B11+B12+B13+B14+B15+B16+B17+B18+B19+B56+B58+B59</f>
        <v>4640676789</v>
      </c>
      <c r="C7" s="77">
        <f>C9+C10+C11+C12+C13+C14+C15+C16+C17+C18+C19+C56+C58+C59</f>
        <v>216793929</v>
      </c>
      <c r="D7" s="77">
        <f>D9+D10+D11+D12+D13+D14+D15+D16+D17+D18+D19+D56+D58+D59</f>
        <v>4857470718</v>
      </c>
      <c r="E7" s="77">
        <f>E9+E10+E11+E12+E13+E14+E15+E16+E17+E18+E19</f>
        <v>190574922.68716913</v>
      </c>
      <c r="F7" s="77">
        <f>F9+F10+F11+F12+F13+F14+F15+F16+F17+F18+F19</f>
        <v>4529278138.5799999</v>
      </c>
      <c r="G7" s="78">
        <f>F7/$B7</f>
        <v>0.97599517150514481</v>
      </c>
      <c r="H7" s="77">
        <f>H9+H10+H11+H12+H13+H14+H15+H16+H17+H18+H19</f>
        <v>4529278138.5799999</v>
      </c>
      <c r="I7" s="78">
        <f>H7/$B7</f>
        <v>0.97599517150514481</v>
      </c>
      <c r="J7" s="77">
        <f>J9+J10+J11+J12+J13+J14+J15+J16+J17+J18+J19</f>
        <v>4529278138.5799999</v>
      </c>
      <c r="K7" s="78">
        <f>J7/$B7</f>
        <v>0.97599517150514481</v>
      </c>
      <c r="L7" s="77">
        <f>L9+L10+L11+L12+L13+L14+L15+L16+L17+L18+L19</f>
        <v>4497693061.5600004</v>
      </c>
      <c r="M7" s="79">
        <f>L7/$B7</f>
        <v>0.96918903557797431</v>
      </c>
      <c r="N7" s="64"/>
    </row>
    <row r="8" spans="1:27" ht="4.5" customHeight="1" thickBot="1" x14ac:dyDescent="0.35">
      <c r="A8" s="84"/>
      <c r="B8" s="85"/>
      <c r="C8" s="85"/>
      <c r="D8" s="85"/>
      <c r="E8" s="85"/>
      <c r="F8" s="85"/>
      <c r="G8" s="85"/>
      <c r="H8" s="85"/>
      <c r="I8" s="85"/>
      <c r="J8" s="85"/>
      <c r="K8" s="85"/>
      <c r="L8" s="85"/>
      <c r="M8" s="86"/>
    </row>
    <row r="9" spans="1:27" ht="21.75" customHeight="1" x14ac:dyDescent="0.3">
      <c r="A9" s="80" t="s">
        <v>349</v>
      </c>
      <c r="B9" s="195">
        <f>SUM(Pasākumu_līmenis!F20:'Pasākumu_līmenis'!F25)+Pasākumu_līmenis!F31+Pasākumu_līmenis!F32+Pasākumu_līmenis!F33+Pasākumu_līmenis!F34+Pasākumu_līmenis!F35+Pasākumu_līmenis!F36+Pasākumu_līmenis!F38+Pasākumu_līmenis!F39+Pasākumu_līmenis!F40+Pasākumu_līmenis!F41+Pasākumu_līmenis!F48+Pasākumu_līmenis!F49+Pasākumu_līmenis!F50+Pasākumu_līmenis!F52+Pasākumu_līmenis!F155+Pasākumu_līmenis!F37+Pasākumu_līmenis!F154+Pasākumu_līmenis!F165+Pasākumu_līmenis!F156+Pasākumu_līmenis!F157+Pasākumu_līmenis!F172</f>
        <v>834064348</v>
      </c>
      <c r="C9" s="195">
        <f>SUM(Pasākumu_līmenis!G20:'Pasākumu_līmenis'!G25)+Pasākumu_līmenis!G31+Pasākumu_līmenis!G32+Pasākumu_līmenis!G33+Pasākumu_līmenis!G34+Pasākumu_līmenis!G35+Pasākumu_līmenis!G36+Pasākumu_līmenis!G38+Pasākumu_līmenis!G39+Pasākumu_līmenis!G40+Pasākumu_līmenis!G41+Pasākumu_līmenis!G48+Pasākumu_līmenis!G49+Pasākumu_līmenis!G50+Pasākumu_līmenis!G52+Pasākumu_līmenis!G155+Pasākumu_līmenis!G37+Pasākumu_līmenis!G154+Pasākumu_līmenis!G165+Pasākumu_līmenis!G156+Pasākumu_līmenis!G157+Pasākumu_līmenis!G172</f>
        <v>116550001</v>
      </c>
      <c r="D9" s="195">
        <f>B9+C9</f>
        <v>950614349</v>
      </c>
      <c r="E9" s="195">
        <f>SUM(Pasākumu_līmenis!I20:'Pasākumu_līmenis'!I25)+Pasākumu_līmenis!I31+Pasākumu_līmenis!I32+Pasākumu_līmenis!I33+Pasākumu_līmenis!I34+Pasākumu_līmenis!I35+Pasākumu_līmenis!I36+Pasākumu_līmenis!I38+Pasākumu_līmenis!I39+Pasākumu_līmenis!I40+Pasākumu_līmenis!I41+Pasākumu_līmenis!I48+Pasākumu_līmenis!I49+Pasākumu_līmenis!I50+Pasākumu_līmenis!I52</f>
        <v>31792647.43290095</v>
      </c>
      <c r="F9" s="195">
        <f>SUM(Pasākumu_līmenis!J20:'Pasākumu_līmenis'!J25)+SUM(Pasākumu_līmenis!J31:'Pasākumu_līmenis'!J41)+Pasākumu_līmenis!J48+Pasākumu_līmenis!J49+Pasākumu_līmenis!J50+Pasākumu_līmenis!J52+Pasākumu_līmenis!J155+Pasākumu_līmenis!J154+Pasākumu_līmenis!J165+Pasākumu_līmenis!J156+Pasākumu_līmenis!J157+Pasākumu_līmenis!J172</f>
        <v>860769575.8599999</v>
      </c>
      <c r="G9" s="196">
        <f>F9/B9</f>
        <v>1.0320181865152687</v>
      </c>
      <c r="H9" s="195">
        <f>SUM(Pasākumu_līmenis!Q20:'Pasākumu_līmenis'!Q25)+SUM(Pasākumu_līmenis!Q31:'Pasākumu_līmenis'!Q41)+Pasākumu_līmenis!Q48+Pasākumu_līmenis!Q49+Pasākumu_līmenis!Q50+Pasākumu_līmenis!Q52+Pasākumu_līmenis!Q155+Pasākumu_līmenis!Q154+Pasākumu_līmenis!Q165+Pasākumu_līmenis!Q156+Pasākumu_līmenis!Q157+Pasākumu_līmenis!Q172</f>
        <v>860769575.8599999</v>
      </c>
      <c r="I9" s="196">
        <f>H9/B9</f>
        <v>1.0320181865152687</v>
      </c>
      <c r="J9" s="195">
        <f>SUM(Pasākumu_līmenis!X20:'Pasākumu_līmenis'!X25)+SUM(Pasākumu_līmenis!X31:'Pasākumu_līmenis'!X41)+Pasākumu_līmenis!X48+Pasākumu_līmenis!X49+Pasākumu_līmenis!X50+Pasākumu_līmenis!X52+Pasākumu_līmenis!X155+Pasākumu_līmenis!X154+Pasākumu_līmenis!X165+Pasākumu_līmenis!X156+Pasākumu_līmenis!X157+Pasākumu_līmenis!X172</f>
        <v>860769575.8599999</v>
      </c>
      <c r="K9" s="196">
        <f>J9/B9</f>
        <v>1.0320181865152687</v>
      </c>
      <c r="L9" s="195">
        <f>SUM(Pasākumu_līmenis!AE20:'Pasākumu_līmenis'!AE25)+SUM(Pasākumu_līmenis!AE31:'Pasākumu_līmenis'!AE41)+Pasākumu_līmenis!AE48+Pasākumu_līmenis!AE49+Pasākumu_līmenis!AE50+Pasākumu_līmenis!AE52+Pasākumu_līmenis!AE155+Pasākumu_līmenis!AE154+Pasākumu_līmenis!AE165+Pasākumu_līmenis!AE156+Pasākumu_līmenis!AE157+Pasākumu_līmenis!AE172</f>
        <v>846279846.61999977</v>
      </c>
      <c r="M9" s="197">
        <f>L9/B9</f>
        <v>1.0146457508336033</v>
      </c>
      <c r="N9" s="64"/>
      <c r="O9" s="64"/>
      <c r="P9" s="64"/>
      <c r="Q9" s="64"/>
      <c r="R9" s="64"/>
      <c r="S9" s="64"/>
      <c r="U9" s="64"/>
      <c r="V9" s="64"/>
      <c r="W9" s="64"/>
      <c r="X9" s="64"/>
      <c r="Y9" s="64"/>
      <c r="Z9" s="64"/>
      <c r="AA9" s="64"/>
    </row>
    <row r="10" spans="1:27" ht="21.75" customHeight="1" x14ac:dyDescent="0.3">
      <c r="A10" s="70" t="s">
        <v>356</v>
      </c>
      <c r="B10" s="198">
        <f>Pasākumu_līmenis!F146+Pasākumu_līmenis!F147+Pasākumu_līmenis!F150+Pasākumu_līmenis!F152+Pasākumu_līmenis!F148</f>
        <v>101316303</v>
      </c>
      <c r="C10" s="198">
        <f>Pasākumu_līmenis!G146+Pasākumu_līmenis!G147+Pasākumu_līmenis!G150+Pasākumu_līmenis!G152+Pasākumu_līmenis!G148</f>
        <v>0</v>
      </c>
      <c r="D10" s="198">
        <f>B10+C10</f>
        <v>101316303</v>
      </c>
      <c r="E10" s="198">
        <f>Pasākumu_līmenis!I146+Pasākumu_līmenis!I147+Pasākumu_līmenis!I150+Pasākumu_līmenis!I152+Pasākumu_līmenis!I148</f>
        <v>0</v>
      </c>
      <c r="F10" s="198">
        <f>Pasākumu_līmenis!J146+Pasākumu_līmenis!J147+Pasākumu_līmenis!J150+Pasākumu_līmenis!J152+Pasākumu_līmenis!J148</f>
        <v>100806405.58</v>
      </c>
      <c r="G10" s="199">
        <f t="shared" ref="G10:G44" si="0">F10/B10</f>
        <v>0.99496727175289845</v>
      </c>
      <c r="H10" s="198">
        <f>Pasākumu_līmenis!Q146+Pasākumu_līmenis!Q147+Pasākumu_līmenis!Q150+Pasākumu_līmenis!Q152+Pasākumu_līmenis!Q148</f>
        <v>100806405.58</v>
      </c>
      <c r="I10" s="199">
        <f t="shared" ref="I10:I44" si="1">H10/B10</f>
        <v>0.99496727175289845</v>
      </c>
      <c r="J10" s="198">
        <f>Pasākumu_līmenis!X146+Pasākumu_līmenis!X147+Pasākumu_līmenis!X150+Pasākumu_līmenis!X152+Pasākumu_līmenis!X148</f>
        <v>100806405.58</v>
      </c>
      <c r="K10" s="199">
        <f t="shared" ref="K10:K44" si="2">J10/B10</f>
        <v>0.99496727175289845</v>
      </c>
      <c r="L10" s="198">
        <f>Pasākumu_līmenis!AE146+Pasākumu_līmenis!AE147+Pasākumu_līmenis!AE150+Pasākumu_līmenis!AE152+Pasākumu_līmenis!AE148</f>
        <v>100806240.3</v>
      </c>
      <c r="M10" s="200">
        <f t="shared" ref="M10:M18" si="3">L10/B10</f>
        <v>0.99496564042610203</v>
      </c>
      <c r="N10" s="64"/>
      <c r="O10" s="64"/>
      <c r="P10" s="64"/>
      <c r="Q10" s="64"/>
      <c r="R10" s="64"/>
      <c r="S10" s="64"/>
      <c r="U10" s="64"/>
      <c r="V10" s="64"/>
      <c r="W10" s="64"/>
      <c r="X10" s="64"/>
      <c r="Y10" s="64"/>
      <c r="Z10" s="64"/>
      <c r="AA10" s="64"/>
    </row>
    <row r="11" spans="1:27" ht="21.75" customHeight="1" x14ac:dyDescent="0.3">
      <c r="A11" s="70" t="s">
        <v>348</v>
      </c>
      <c r="B11" s="198">
        <f>Pasākumu_līmenis!F15+Pasākumu_līmenis!F16+Pasākumu_līmenis!F17+Pasākumu_līmenis!F18+Pasākumu_līmenis!F19+Pasākumu_līmenis!F98+Pasākumu_līmenis!F99+Pasākumu_līmenis!F100+Pasākumu_līmenis!F101+Pasākumu_līmenis!F102+Pasākumu_līmenis!F103+Pasākumu_līmenis!F104+Pasākumu_līmenis!F105+Pasākumu_līmenis!F106+Pasākumu_līmenis!F107+Pasākumu_līmenis!F108+Pasākumu_līmenis!F109+Pasākumu_līmenis!F110+Pasākumu_līmenis!F111+Pasākumu_līmenis!F112+Pasākumu_līmenis!F113+Pasākumu_līmenis!F114+Pasākumu_līmenis!F115+Pasākumu_līmenis!F116+Pasākumu_līmenis!F117+Pasākumu_līmenis!F118+Pasākumu_līmenis!F159+Pasākumu_līmenis!F160+Pasākumu_līmenis!F167+Pasākumu_līmenis!F168+Pasākumu_līmenis!F158</f>
        <v>831738196</v>
      </c>
      <c r="C11" s="198">
        <f>Pasākumu_līmenis!G15+Pasākumu_līmenis!G16+Pasākumu_līmenis!G17+Pasākumu_līmenis!G18+Pasākumu_līmenis!G19+Pasākumu_līmenis!G98+Pasākumu_līmenis!G99+Pasākumu_līmenis!G100+Pasākumu_līmenis!G101+Pasākumu_līmenis!G102+Pasākumu_līmenis!G103+Pasākumu_līmenis!G104+Pasākumu_līmenis!G105+Pasākumu_līmenis!G106+Pasākumu_līmenis!G107+Pasākumu_līmenis!G108+Pasākumu_līmenis!G109+Pasākumu_līmenis!G110+Pasākumu_līmenis!G111+Pasākumu_līmenis!G112+Pasākumu_līmenis!G113+Pasākumu_līmenis!G114+Pasākumu_līmenis!G115+Pasākumu_līmenis!G116+Pasākumu_līmenis!G117+Pasākumu_līmenis!G118+Pasākumu_līmenis!G159+Pasākumu_līmenis!G160+Pasākumu_līmenis!G167+Pasākumu_līmenis!G168+Pasākumu_līmenis!G158</f>
        <v>8534803</v>
      </c>
      <c r="D11" s="198">
        <f t="shared" ref="D11:D42" si="4">B11+C11</f>
        <v>840272999</v>
      </c>
      <c r="E11" s="198">
        <f>Pasākumu_līmenis!I15+Pasākumu_līmenis!I16+Pasākumu_līmenis!I17+Pasākumu_līmenis!I18+Pasākumu_līmenis!I19+Pasākumu_līmenis!I98+Pasākumu_līmenis!I99+Pasākumu_līmenis!I100+Pasākumu_līmenis!I101+Pasākumu_līmenis!I102+Pasākumu_līmenis!I103+Pasākumu_līmenis!I104+Pasākumu_līmenis!I105+Pasākumu_līmenis!I106+Pasākumu_līmenis!I107+Pasākumu_līmenis!I108+Pasākumu_līmenis!I109+Pasākumu_līmenis!I110+Pasākumu_līmenis!I111+Pasākumu_līmenis!I112+Pasākumu_līmenis!I113+Pasākumu_līmenis!I114+Pasākumu_līmenis!I115+Pasākumu_līmenis!I116+Pasākumu_līmenis!I117+Pasākumu_līmenis!I118</f>
        <v>23439111.242077023</v>
      </c>
      <c r="F11" s="198">
        <f>Pasākumu_līmenis!J15+Pasākumu_līmenis!J16+Pasākumu_līmenis!J17+Pasākumu_līmenis!J18+Pasākumu_līmenis!J19+Pasākumu_līmenis!J98+Pasākumu_līmenis!J99+Pasākumu_līmenis!J100+Pasākumu_līmenis!J101+Pasākumu_līmenis!J102+Pasākumu_līmenis!J103+Pasākumu_līmenis!J104+Pasākumu_līmenis!J105+Pasākumu_līmenis!J106+Pasākumu_līmenis!J107+Pasākumu_līmenis!J108+Pasākumu_līmenis!J109+Pasākumu_līmenis!J110+Pasākumu_līmenis!J111+Pasākumu_līmenis!J112+Pasākumu_līmenis!J113+Pasākumu_līmenis!J114+Pasākumu_līmenis!J115+Pasākumu_līmenis!J116+Pasākumu_līmenis!J117+Pasākumu_līmenis!J118+Pasākumu_līmenis!J159+Pasākumu_līmenis!J160+Pasākumu_līmenis!J167+Pasākumu_līmenis!J168+Pasākumu_līmenis!J158</f>
        <v>816446257.27999961</v>
      </c>
      <c r="G11" s="199">
        <f t="shared" si="0"/>
        <v>0.98161448062197643</v>
      </c>
      <c r="H11" s="198">
        <f>Pasākumu_līmenis!Q15+Pasākumu_līmenis!Q16+Pasākumu_līmenis!Q17+Pasākumu_līmenis!Q18+Pasākumu_līmenis!Q19+Pasākumu_līmenis!Q98+Pasākumu_līmenis!Q99+Pasākumu_līmenis!Q100+Pasākumu_līmenis!Q101+Pasākumu_līmenis!Q102+Pasākumu_līmenis!Q103+Pasākumu_līmenis!Q104+Pasākumu_līmenis!Q105+Pasākumu_līmenis!Q106+Pasākumu_līmenis!Q107+Pasākumu_līmenis!Q108+Pasākumu_līmenis!Q109+Pasākumu_līmenis!Q110+Pasākumu_līmenis!Q111+Pasākumu_līmenis!Q112+Pasākumu_līmenis!Q113+Pasākumu_līmenis!Q114+Pasākumu_līmenis!Q115+Pasākumu_līmenis!Q116+Pasākumu_līmenis!Q117+Pasākumu_līmenis!Q118+Pasākumu_līmenis!Q159+Pasākumu_līmenis!Q160+Pasākumu_līmenis!Q167+Pasākumu_līmenis!Q168+Pasākumu_līmenis!Q158</f>
        <v>816446257.27999961</v>
      </c>
      <c r="I11" s="199">
        <f t="shared" si="1"/>
        <v>0.98161448062197643</v>
      </c>
      <c r="J11" s="198">
        <f>Pasākumu_līmenis!X15+Pasākumu_līmenis!X16+Pasākumu_līmenis!X17+Pasākumu_līmenis!X18+Pasākumu_līmenis!X19+Pasākumu_līmenis!X98+Pasākumu_līmenis!X99+Pasākumu_līmenis!X100+Pasākumu_līmenis!X101+Pasākumu_līmenis!X102+Pasākumu_līmenis!X103+Pasākumu_līmenis!X104+Pasākumu_līmenis!X105+Pasākumu_līmenis!X106+Pasākumu_līmenis!X107+Pasākumu_līmenis!X108+Pasākumu_līmenis!X109+Pasākumu_līmenis!X110+Pasākumu_līmenis!X111+Pasākumu_līmenis!X112+Pasākumu_līmenis!X113+Pasākumu_līmenis!X114+Pasākumu_līmenis!X115+Pasākumu_līmenis!X116+Pasākumu_līmenis!X117+Pasākumu_līmenis!X118+Pasākumu_līmenis!X159+Pasākumu_līmenis!X160+Pasākumu_līmenis!X167+Pasākumu_līmenis!X168+Pasākumu_līmenis!X158</f>
        <v>816446257.27999961</v>
      </c>
      <c r="K11" s="199">
        <f t="shared" si="2"/>
        <v>0.98161448062197643</v>
      </c>
      <c r="L11" s="198">
        <f>Pasākumu_līmenis!AE15+Pasākumu_līmenis!AE16+Pasākumu_līmenis!AE17+Pasākumu_līmenis!AE18+Pasākumu_līmenis!AE19+Pasākumu_līmenis!AE98+Pasākumu_līmenis!AE99+Pasākumu_līmenis!AE100+Pasākumu_līmenis!AE101+Pasākumu_līmenis!AE102+Pasākumu_līmenis!AE103+Pasākumu_līmenis!AE104+Pasākumu_līmenis!AE105+Pasākumu_līmenis!AE106+Pasākumu_līmenis!AE107+Pasākumu_līmenis!AE108+Pasākumu_līmenis!AE109+Pasākumu_līmenis!AE110+Pasākumu_līmenis!AE111+Pasākumu_līmenis!AE112+Pasākumu_līmenis!AE113+Pasākumu_līmenis!AE114+Pasākumu_līmenis!AE115+Pasākumu_līmenis!AE116+Pasākumu_līmenis!AE117+Pasākumu_līmenis!AE118+Pasākumu_līmenis!AE159+Pasākumu_līmenis!AE160+Pasākumu_līmenis!AE167+Pasākumu_līmenis!AE168+Pasākumu_līmenis!AE158</f>
        <v>809325170.66999984</v>
      </c>
      <c r="M11" s="200">
        <f t="shared" si="3"/>
        <v>0.97305278819971353</v>
      </c>
      <c r="N11" s="64"/>
      <c r="O11" s="64"/>
      <c r="P11" s="64"/>
      <c r="Q11" s="64"/>
      <c r="R11" s="64"/>
      <c r="S11" s="64"/>
      <c r="U11" s="64"/>
      <c r="V11" s="64"/>
      <c r="W11" s="64"/>
      <c r="X11" s="64"/>
      <c r="Y11" s="64"/>
      <c r="Z11" s="64"/>
      <c r="AA11" s="64"/>
    </row>
    <row r="12" spans="1:27" ht="21.75" customHeight="1" x14ac:dyDescent="0.3">
      <c r="A12" s="70" t="s">
        <v>355</v>
      </c>
      <c r="B12" s="198">
        <f>Pasākumu_līmenis!F68+Pasākumu_līmenis!F69+Pasākumu_līmenis!F163</f>
        <v>136168744</v>
      </c>
      <c r="C12" s="198">
        <f>Pasākumu_līmenis!G68+Pasākumu_līmenis!G69+Pasākumu_līmenis!G163</f>
        <v>0</v>
      </c>
      <c r="D12" s="198">
        <f>B12+C12</f>
        <v>136168744</v>
      </c>
      <c r="E12" s="198">
        <f>Pasākumu_līmenis!I68+Pasākumu_līmenis!I69</f>
        <v>0</v>
      </c>
      <c r="F12" s="198">
        <f>Pasākumu_līmenis!J68+Pasākumu_līmenis!J69+Pasākumu_līmenis!J163</f>
        <v>130290148.34</v>
      </c>
      <c r="G12" s="199">
        <f t="shared" si="0"/>
        <v>0.95682859746433446</v>
      </c>
      <c r="H12" s="198">
        <f>Pasākumu_līmenis!Q68+Pasākumu_līmenis!Q69+Pasākumu_līmenis!Q163</f>
        <v>130290148.34</v>
      </c>
      <c r="I12" s="199">
        <f t="shared" si="1"/>
        <v>0.95682859746433446</v>
      </c>
      <c r="J12" s="198">
        <f>Pasākumu_līmenis!X68+Pasākumu_līmenis!X69+Pasākumu_līmenis!X163</f>
        <v>130290148.34</v>
      </c>
      <c r="K12" s="199">
        <f t="shared" si="2"/>
        <v>0.95682859746433446</v>
      </c>
      <c r="L12" s="198">
        <f>Pasākumu_līmenis!AE68+Pasākumu_līmenis!AE69+Pasākumu_līmenis!AE163</f>
        <v>126988112.90000001</v>
      </c>
      <c r="M12" s="200">
        <f t="shared" si="3"/>
        <v>0.93257901313975555</v>
      </c>
      <c r="N12" s="64"/>
      <c r="O12" s="64"/>
      <c r="P12" s="64"/>
      <c r="Q12" s="64"/>
      <c r="R12" s="64"/>
      <c r="S12" s="64"/>
      <c r="U12" s="64"/>
      <c r="V12" s="64"/>
      <c r="W12" s="64"/>
      <c r="X12" s="64"/>
      <c r="Y12" s="64"/>
      <c r="Z12" s="64"/>
      <c r="AA12" s="64"/>
    </row>
    <row r="13" spans="1:27" ht="21.75" customHeight="1" x14ac:dyDescent="0.3">
      <c r="A13" s="70" t="s">
        <v>351</v>
      </c>
      <c r="B13" s="198">
        <f>Pasākumu_līmenis!F87+Pasākumu_līmenis!F88+Pasākumu_līmenis!F89+Pasākumu_līmenis!F90+Pasākumu_līmenis!F92+Pasākumu_līmenis!F94+Pasākumu_līmenis!F95+Pasākumu_līmenis!F96+Pasākumu_līmenis!F120+Pasākumu_līmenis!F121+Pasākumu_līmenis!F122+Pasākumu_līmenis!F125+Pasākumu_līmenis!F126+Pasākumu_līmenis!F127+Pasākumu_līmenis!F128+Pasākumu_līmenis!F129+Pasākumu_līmenis!F130+Pasākumu_līmenis!F131+Pasākumu_līmenis!F132+Pasākumu_līmenis!F133+Pasākumu_līmenis!F141+Pasākumu_līmenis!F142+Pasākumu_līmenis!F91+Pasākumu_līmenis!F93+Pasākumu_līmenis!F134+Pasākumu_līmenis!F143+Pasākumu_līmenis!F169</f>
        <v>392526552</v>
      </c>
      <c r="C13" s="198">
        <f>Pasākumu_līmenis!G87+Pasākumu_līmenis!G88+Pasākumu_līmenis!G89+Pasākumu_līmenis!G90+Pasākumu_līmenis!G92+Pasākumu_līmenis!G94+Pasākumu_līmenis!G95+Pasākumu_līmenis!G96+Pasākumu_līmenis!G120+Pasākumu_līmenis!G121+Pasākumu_līmenis!G122+Pasākumu_līmenis!G125+Pasākumu_līmenis!G126+Pasākumu_līmenis!G127+Pasākumu_līmenis!G128+Pasākumu_līmenis!G129+Pasākumu_līmenis!G130+Pasākumu_līmenis!G131+Pasākumu_līmenis!G132+Pasākumu_līmenis!G133+Pasākumu_līmenis!G141+Pasākumu_līmenis!G142+Pasākumu_līmenis!G91+Pasākumu_līmenis!G93+Pasākumu_līmenis!G143+Pasākumu_līmenis!G169</f>
        <v>782851</v>
      </c>
      <c r="D13" s="198">
        <f t="shared" si="4"/>
        <v>393309403</v>
      </c>
      <c r="E13" s="198">
        <f>Pasākumu_līmenis!I87+Pasākumu_līmenis!I88+Pasākumu_līmenis!I89+Pasākumu_līmenis!I90+Pasākumu_līmenis!I92+Pasākumu_līmenis!I94+Pasākumu_līmenis!I95+Pasākumu_līmenis!I96+Pasākumu_līmenis!I120+Pasākumu_līmenis!I121+Pasākumu_līmenis!I122+Pasākumu_līmenis!I125+Pasākumu_līmenis!I126+Pasākumu_līmenis!I127+Pasākumu_līmenis!I128+Pasākumu_līmenis!I129+Pasākumu_līmenis!I130+Pasākumu_līmenis!I131+Pasākumu_līmenis!I132+Pasākumu_līmenis!I133+Pasākumu_līmenis!I141+Pasākumu_līmenis!I142+Pasākumu_līmenis!I91+Pasākumu_līmenis!I93</f>
        <v>12656878</v>
      </c>
      <c r="F13" s="198">
        <f>Pasākumu_līmenis!J87+Pasākumu_līmenis!J88+Pasākumu_līmenis!J89+Pasākumu_līmenis!J90+Pasākumu_līmenis!J92+Pasākumu_līmenis!J94+Pasākumu_līmenis!J95+Pasākumu_līmenis!J96+Pasākumu_līmenis!J120+Pasākumu_līmenis!J121+Pasākumu_līmenis!J122+Pasākumu_līmenis!J125+Pasākumu_līmenis!J126+Pasākumu_līmenis!J127+Pasākumu_līmenis!J128+Pasākumu_līmenis!J129+Pasākumu_līmenis!J130+Pasākumu_līmenis!J131+Pasākumu_līmenis!J132+Pasākumu_līmenis!J133+Pasākumu_līmenis!J141+Pasākumu_līmenis!J142+Pasākumu_līmenis!J91+Pasākumu_līmenis!J93+Pasākumu_līmenis!J134+Pasākumu_līmenis!J143+Pasākumu_līmenis!J169</f>
        <v>386011400.57999998</v>
      </c>
      <c r="G13" s="199">
        <f t="shared" si="0"/>
        <v>0.98340201092944146</v>
      </c>
      <c r="H13" s="198">
        <f>Pasākumu_līmenis!Q87+Pasākumu_līmenis!Q88+Pasākumu_līmenis!Q89+Pasākumu_līmenis!Q90+Pasākumu_līmenis!Q92+Pasākumu_līmenis!Q94+Pasākumu_līmenis!Q95+Pasākumu_līmenis!Q96+Pasākumu_līmenis!Q120+Pasākumu_līmenis!Q121+Pasākumu_līmenis!Q122+Pasākumu_līmenis!Q125+Pasākumu_līmenis!Q126+Pasākumu_līmenis!Q127+Pasākumu_līmenis!Q128+Pasākumu_līmenis!Q129+Pasākumu_līmenis!Q130+Pasākumu_līmenis!Q131+Pasākumu_līmenis!Q132+Pasākumu_līmenis!Q133+Pasākumu_līmenis!Q141+Pasākumu_līmenis!Q142+Pasākumu_līmenis!Q91+Pasākumu_līmenis!Q93+Pasākumu_līmenis!Q134+Pasākumu_līmenis!Q143+Pasākumu_līmenis!Q169</f>
        <v>386011400.57999998</v>
      </c>
      <c r="I13" s="199">
        <f t="shared" si="1"/>
        <v>0.98340201092944146</v>
      </c>
      <c r="J13" s="198">
        <f>Pasākumu_līmenis!X87+Pasākumu_līmenis!X88+Pasākumu_līmenis!X89+Pasākumu_līmenis!X90+Pasākumu_līmenis!X92+Pasākumu_līmenis!X94+Pasākumu_līmenis!X95+Pasākumu_līmenis!X96+Pasākumu_līmenis!X120+Pasākumu_līmenis!X121+Pasākumu_līmenis!X122+Pasākumu_līmenis!X125+Pasākumu_līmenis!X126+Pasākumu_līmenis!X127+Pasākumu_līmenis!X128+Pasākumu_līmenis!X129+Pasākumu_līmenis!X130+Pasākumu_līmenis!X131+Pasākumu_līmenis!X132+Pasākumu_līmenis!X133+Pasākumu_līmenis!X141+Pasākumu_līmenis!X142+Pasākumu_līmenis!X91+Pasākumu_līmenis!X93+Pasākumu_līmenis!X134+Pasākumu_līmenis!X143+Pasākumu_līmenis!X169</f>
        <v>386011400.57999998</v>
      </c>
      <c r="K13" s="199">
        <f t="shared" si="2"/>
        <v>0.98340201092944146</v>
      </c>
      <c r="L13" s="198">
        <f>Pasākumu_līmenis!AE87+Pasākumu_līmenis!AE88+Pasākumu_līmenis!AE89+Pasākumu_līmenis!AE90+Pasākumu_līmenis!AE92+Pasākumu_līmenis!AE94+Pasākumu_līmenis!AE95+Pasākumu_līmenis!AE96+Pasākumu_līmenis!AE120+Pasākumu_līmenis!AE121+Pasākumu_līmenis!AE122+Pasākumu_līmenis!AE125+Pasākumu_līmenis!AE126+Pasākumu_līmenis!AE127+Pasākumu_līmenis!AE128+Pasākumu_līmenis!AE129+Pasākumu_līmenis!AE130+Pasākumu_līmenis!AE131+Pasākumu_līmenis!AE132+Pasākumu_līmenis!AE133+Pasākumu_līmenis!AE141+Pasākumu_līmenis!AE142+Pasākumu_līmenis!AE91+Pasākumu_līmenis!AE93+Pasākumu_līmenis!AE134+Pasākumu_līmenis!AE143+Pasākumu_līmenis!AE169</f>
        <v>385415128.04999995</v>
      </c>
      <c r="M13" s="200">
        <f t="shared" si="3"/>
        <v>0.98188294801010034</v>
      </c>
      <c r="N13" s="64"/>
      <c r="O13" s="64"/>
      <c r="P13" s="64"/>
      <c r="Q13" s="64"/>
      <c r="R13" s="64"/>
      <c r="S13" s="64"/>
      <c r="U13" s="64"/>
      <c r="V13" s="64"/>
      <c r="W13" s="64"/>
      <c r="X13" s="64"/>
      <c r="Y13" s="64"/>
      <c r="Z13" s="64"/>
      <c r="AA13" s="64"/>
    </row>
    <row r="14" spans="1:27" ht="21.75" customHeight="1" x14ac:dyDescent="0.3">
      <c r="A14" s="70" t="s">
        <v>347</v>
      </c>
      <c r="B14" s="198">
        <f>Pasākumu_līmenis!F27+Pasākumu_līmenis!F53+Pasākumu_līmenis!F54+Pasākumu_līmenis!F55+Pasākumu_līmenis!F73+Pasākumu_līmenis!F74+Pasākumu_līmenis!F75+Pasākumu_līmenis!F76+Pasākumu_līmenis!F77+Pasākumu_līmenis!F78+Pasākumu_līmenis!F79+Pasākumu_līmenis!F83+Pasākumu_līmenis!F84+Pasākumu_līmenis!F85+Pasākumu_līmenis!F80+Pasākumu_līmenis!F81+Pasākumu_līmenis!F82</f>
        <v>1215646611</v>
      </c>
      <c r="C14" s="198">
        <f>Pasākumu_līmenis!G27+Pasākumu_līmenis!G53+Pasākumu_līmenis!G54+Pasākumu_līmenis!G55+Pasākumu_līmenis!G73+Pasākumu_līmenis!G74+Pasākumu_līmenis!G75+Pasākumu_līmenis!G76+Pasākumu_līmenis!G77+Pasākumu_līmenis!G78+Pasākumu_līmenis!G79+Pasākumu_līmenis!G83+Pasākumu_līmenis!G84+Pasākumu_līmenis!G85+Pasākumu_līmenis!G80+Pasākumu_līmenis!G81+Pasākumu_līmenis!G82</f>
        <v>0</v>
      </c>
      <c r="D14" s="198">
        <f t="shared" si="4"/>
        <v>1215646611</v>
      </c>
      <c r="E14" s="198">
        <f>Pasākumu_līmenis!I27+Pasākumu_līmenis!I53+Pasākumu_līmenis!I54+Pasākumu_līmenis!I55+Pasākumu_līmenis!I73+Pasākumu_līmenis!I74+Pasākumu_līmenis!I75+Pasākumu_līmenis!I76+Pasākumu_līmenis!I77+Pasākumu_līmenis!I78+Pasākumu_līmenis!I79+Pasākumu_līmenis!I83+Pasākumu_līmenis!I84+Pasākumu_līmenis!I85</f>
        <v>76768591.420935005</v>
      </c>
      <c r="F14" s="198">
        <f>Pasākumu_līmenis!J27+Pasākumu_līmenis!J53+Pasākumu_līmenis!J54+Pasākumu_līmenis!J55+Pasākumu_līmenis!J73+Pasākumu_līmenis!J74+Pasākumu_līmenis!J75+Pasākumu_līmenis!J76+Pasākumu_līmenis!J77+Pasākumu_līmenis!J78+Pasākumu_līmenis!J79+Pasākumu_līmenis!J83+Pasākumu_līmenis!J84+Pasākumu_līmenis!J85+Pasākumu_līmenis!J80+Pasākumu_līmenis!J81+Pasākumu_līmenis!J82</f>
        <v>1113173329.1500001</v>
      </c>
      <c r="G14" s="199">
        <f t="shared" si="0"/>
        <v>0.91570471144923882</v>
      </c>
      <c r="H14" s="198">
        <f>Pasākumu_līmenis!Q27+Pasākumu_līmenis!Q53+Pasākumu_līmenis!Q54+Pasākumu_līmenis!Q55+Pasākumu_līmenis!Q73+Pasākumu_līmenis!Q74+Pasākumu_līmenis!Q75+Pasākumu_līmenis!Q76+Pasākumu_līmenis!Q77+Pasākumu_līmenis!Q78+Pasākumu_līmenis!Q79+Pasākumu_līmenis!Q83+Pasākumu_līmenis!Q84+Pasākumu_līmenis!Q85+Pasākumu_līmenis!Q80+Pasākumu_līmenis!Q81+Pasākumu_līmenis!Q82</f>
        <v>1113173329.1500001</v>
      </c>
      <c r="I14" s="199">
        <f t="shared" si="1"/>
        <v>0.91570471144923882</v>
      </c>
      <c r="J14" s="198">
        <f>Pasākumu_līmenis!X27+Pasākumu_līmenis!X53+Pasākumu_līmenis!X54+Pasākumu_līmenis!X55+Pasākumu_līmenis!X73+Pasākumu_līmenis!X74+Pasākumu_līmenis!X75+Pasākumu_līmenis!X76+Pasākumu_līmenis!X77+Pasākumu_līmenis!X78+Pasākumu_līmenis!X79+Pasākumu_līmenis!X83+Pasākumu_līmenis!X84+Pasākumu_līmenis!X85+Pasākumu_līmenis!X80+Pasākumu_līmenis!X81+Pasākumu_līmenis!X82</f>
        <v>1113173329.1500001</v>
      </c>
      <c r="K14" s="199">
        <f t="shared" si="2"/>
        <v>0.91570471144923882</v>
      </c>
      <c r="L14" s="198">
        <f>Pasākumu_līmenis!AE27+Pasākumu_līmenis!AE53+Pasākumu_līmenis!AE54+Pasākumu_līmenis!AE55+Pasākumu_līmenis!AE73+Pasākumu_līmenis!AE74+Pasākumu_līmenis!AE75+Pasākumu_līmenis!AE76+Pasākumu_līmenis!AE77+Pasākumu_līmenis!AE78+Pasākumu_līmenis!AE79+Pasākumu_līmenis!AE83+Pasākumu_līmenis!AE84+Pasākumu_līmenis!AE85+Pasākumu_līmenis!AE80+Pasākumu_līmenis!AE81+Pasākumu_līmenis!AE82</f>
        <v>1113875342.8400002</v>
      </c>
      <c r="M14" s="200">
        <f t="shared" si="3"/>
        <v>0.91628219316444104</v>
      </c>
      <c r="N14" s="64"/>
      <c r="O14" s="64"/>
      <c r="P14" s="64"/>
      <c r="Q14" s="64"/>
      <c r="R14" s="64"/>
      <c r="S14" s="64"/>
      <c r="U14" s="64"/>
      <c r="V14" s="64"/>
      <c r="W14" s="64"/>
      <c r="X14" s="64"/>
      <c r="Y14" s="64"/>
      <c r="Z14" s="64"/>
      <c r="AA14" s="64"/>
    </row>
    <row r="15" spans="1:27" ht="21.75" customHeight="1" x14ac:dyDescent="0.3">
      <c r="A15" s="70" t="s">
        <v>353</v>
      </c>
      <c r="B15" s="198">
        <f>Pasākumu_līmenis!F43+Pasākumu_līmenis!F123+Pasākumu_līmenis!F124</f>
        <v>17490523</v>
      </c>
      <c r="C15" s="198">
        <f>Pasākumu_līmenis!G43+Pasākumu_līmenis!G123+Pasākumu_līmenis!G124</f>
        <v>0</v>
      </c>
      <c r="D15" s="198">
        <f t="shared" si="4"/>
        <v>17490523</v>
      </c>
      <c r="E15" s="198">
        <f>Pasākumu_līmenis!I43+Pasākumu_līmenis!I123+Pasākumu_līmenis!I124</f>
        <v>1087651</v>
      </c>
      <c r="F15" s="198">
        <f>Pasākumu_līmenis!J43+Pasākumu_līmenis!J123+Pasākumu_līmenis!J124</f>
        <v>17479673.399999999</v>
      </c>
      <c r="G15" s="199">
        <f t="shared" si="0"/>
        <v>0.99937968693103107</v>
      </c>
      <c r="H15" s="198">
        <f>Pasākumu_līmenis!Q43+Pasākumu_līmenis!Q123+Pasākumu_līmenis!Q124</f>
        <v>17479673.399999999</v>
      </c>
      <c r="I15" s="199">
        <f t="shared" si="1"/>
        <v>0.99937968693103107</v>
      </c>
      <c r="J15" s="198">
        <f>Pasākumu_līmenis!X43+Pasākumu_līmenis!X123+Pasākumu_līmenis!X124</f>
        <v>17479673.399999999</v>
      </c>
      <c r="K15" s="199">
        <f t="shared" si="2"/>
        <v>0.99937968693103107</v>
      </c>
      <c r="L15" s="198">
        <f>Pasākumu_līmenis!AE43+Pasākumu_līmenis!AE123+Pasākumu_līmenis!AE124</f>
        <v>17479673.399999999</v>
      </c>
      <c r="M15" s="200">
        <f t="shared" si="3"/>
        <v>0.99937968693103107</v>
      </c>
      <c r="N15" s="64"/>
      <c r="O15" s="64"/>
      <c r="P15" s="64"/>
      <c r="Q15" s="64"/>
      <c r="R15" s="64"/>
      <c r="S15" s="64"/>
      <c r="U15" s="64"/>
      <c r="V15" s="64"/>
      <c r="W15" s="64"/>
      <c r="X15" s="64"/>
      <c r="Y15" s="64"/>
      <c r="Z15" s="64"/>
      <c r="AA15" s="64"/>
    </row>
    <row r="16" spans="1:27" ht="21.75" customHeight="1" x14ac:dyDescent="0.3">
      <c r="A16" s="70" t="s">
        <v>350</v>
      </c>
      <c r="B16" s="198">
        <f>Pasākumu_līmenis!F28+Pasākumu_līmenis!F29+Pasākumu_līmenis!F42+Pasākumu_līmenis!F51+Pasākumu_līmenis!F57+Pasākumu_līmenis!F59+Pasākumu_līmenis!F60+Pasākumu_līmenis!F62+Pasākumu_līmenis!F63+Pasākumu_līmenis!F64+Pasākumu_līmenis!F65+Pasākumu_līmenis!F71+Pasākumu_līmenis!F61+Pasākumu_līmenis!F66+Pasākumu_līmenis!F70+SUM(Pasākumu_līmenis!F161:F162)+Pasākumu_līmenis!F67</f>
        <v>745241643</v>
      </c>
      <c r="C16" s="198">
        <f>Pasākumu_līmenis!G28+Pasākumu_līmenis!G29+Pasākumu_līmenis!G42+Pasākumu_līmenis!G51+Pasākumu_līmenis!G57+Pasākumu_līmenis!G59+Pasākumu_līmenis!G60+Pasākumu_līmenis!G62+Pasākumu_līmenis!G63+Pasākumu_līmenis!G64+Pasākumu_līmenis!G65+Pasākumu_līmenis!G71+Pasākumu_līmenis!G61+Pasākumu_līmenis!G66+Pasākumu_līmenis!G70+SUM(Pasākumu_līmenis!G161:G162)+Pasākumu_līmenis!G67</f>
        <v>46914125</v>
      </c>
      <c r="D16" s="198">
        <f t="shared" si="4"/>
        <v>792155768</v>
      </c>
      <c r="E16" s="198">
        <f>Pasākumu_līmenis!I28+Pasākumu_līmenis!I29+Pasākumu_līmenis!I42+Pasākumu_līmenis!I51+Pasākumu_līmenis!I57+Pasākumu_līmenis!I59+Pasākumu_līmenis!I60+Pasākumu_līmenis!I62+Pasākumu_līmenis!I63+Pasākumu_līmenis!I64+Pasākumu_līmenis!I65+Pasākumu_līmenis!I71+Pasākumu_līmenis!I61+Pasākumu_līmenis!I66+Pasākumu_līmenis!I70</f>
        <v>32767970.477623045</v>
      </c>
      <c r="F16" s="198">
        <f>Pasākumu_līmenis!J28+Pasākumu_līmenis!J29+Pasākumu_līmenis!J42+Pasākumu_līmenis!J51+Pasākumu_līmenis!J57+Pasākumu_līmenis!J59+Pasākumu_līmenis!J60+Pasākumu_līmenis!J62+Pasākumu_līmenis!J63+Pasākumu_līmenis!J64+Pasākumu_līmenis!J65+Pasākumu_līmenis!J71+Pasākumu_līmenis!J61+Pasākumu_līmenis!J66+Pasākumu_līmenis!J70+SUM(Pasākumu_līmenis!J161:J162)+Pasākumu_līmenis!J67</f>
        <v>737125344.76999998</v>
      </c>
      <c r="G16" s="199">
        <f t="shared" si="0"/>
        <v>0.98910917243254481</v>
      </c>
      <c r="H16" s="198">
        <f>Pasākumu_līmenis!Q28+Pasākumu_līmenis!Q29+Pasākumu_līmenis!Q42+Pasākumu_līmenis!Q51+Pasākumu_līmenis!Q57+Pasākumu_līmenis!Q59+Pasākumu_līmenis!Q60+Pasākumu_līmenis!Q62+Pasākumu_līmenis!Q63+Pasākumu_līmenis!Q66+Pasākumu_līmenis!Q64+Pasākumu_līmenis!Q65+Pasākumu_līmenis!Q71+Pasākumu_līmenis!Q61+Pasākumu_līmenis!Q70+SUM(Pasākumu_līmenis!Q161:Q162)+Pasākumu_līmenis!Q67</f>
        <v>737125344.76999998</v>
      </c>
      <c r="I16" s="199">
        <f t="shared" si="1"/>
        <v>0.98910917243254481</v>
      </c>
      <c r="J16" s="198">
        <f>Pasākumu_līmenis!X28+Pasākumu_līmenis!X29+Pasākumu_līmenis!X42+Pasākumu_līmenis!X51+Pasākumu_līmenis!X57+Pasākumu_līmenis!X59+Pasākumu_līmenis!X60+Pasākumu_līmenis!X62+Pasākumu_līmenis!X63+Pasākumu_līmenis!X66+Pasākumu_līmenis!X64+Pasākumu_līmenis!X65+Pasākumu_līmenis!X71+Pasākumu_līmenis!X61+Pasākumu_līmenis!X70+SUM(Pasākumu_līmenis!X161:X162)+Pasākumu_līmenis!X67</f>
        <v>737125344.76999998</v>
      </c>
      <c r="K16" s="199">
        <f t="shared" si="2"/>
        <v>0.98910917243254481</v>
      </c>
      <c r="L16" s="198">
        <f>Pasākumu_līmenis!AE28+Pasākumu_līmenis!AE29+Pasākumu_līmenis!AE42+Pasākumu_līmenis!AE51+Pasākumu_līmenis!AE57+Pasākumu_līmenis!AE59+Pasākumu_līmenis!AE60+Pasākumu_līmenis!AE62+Pasākumu_līmenis!AE63+Pasākumu_līmenis!AE66+Pasākumu_līmenis!AE64+Pasākumu_līmenis!AE65+Pasākumu_līmenis!AE71+Pasākumu_līmenis!AE61+Pasākumu_līmenis!AE70+SUM(Pasākumu_līmenis!AE161:AE162)+Pasākumu_līmenis!AE67</f>
        <v>736415509.80999994</v>
      </c>
      <c r="M16" s="200">
        <f t="shared" si="3"/>
        <v>0.98815668277141611</v>
      </c>
      <c r="N16" s="64"/>
      <c r="O16" s="64"/>
      <c r="P16" s="64"/>
      <c r="Q16" s="64"/>
      <c r="R16" s="64"/>
      <c r="S16" s="64"/>
      <c r="U16" s="64"/>
      <c r="V16" s="64"/>
      <c r="W16" s="64"/>
      <c r="X16" s="64"/>
      <c r="Y16" s="64"/>
      <c r="Z16" s="64"/>
      <c r="AA16" s="64"/>
    </row>
    <row r="17" spans="1:27" ht="21.75" customHeight="1" x14ac:dyDescent="0.3">
      <c r="A17" s="70" t="s">
        <v>354</v>
      </c>
      <c r="B17" s="198">
        <f>Pasākumu_līmenis!F44+Pasākumu_līmenis!F45+Pasākumu_līmenis!F46</f>
        <v>8569373</v>
      </c>
      <c r="C17" s="198">
        <f>Pasākumu_līmenis!G44+Pasākumu_līmenis!G45</f>
        <v>0</v>
      </c>
      <c r="D17" s="198">
        <f>B17+C17</f>
        <v>8569373</v>
      </c>
      <c r="E17" s="198">
        <f>Pasākumu_līmenis!I44+Pasākumu_līmenis!I45+Pasākumu_līmenis!I46</f>
        <v>532888.16757117736</v>
      </c>
      <c r="F17" s="198">
        <f>Pasākumu_līmenis!J44+Pasākumu_līmenis!J45+Pasākumu_līmenis!J46</f>
        <v>8501012.1500000004</v>
      </c>
      <c r="G17" s="199">
        <f t="shared" si="0"/>
        <v>0.99202265439956927</v>
      </c>
      <c r="H17" s="198">
        <f>Pasākumu_līmenis!Q44+Pasākumu_līmenis!Q45+Pasākumu_līmenis!Q46</f>
        <v>8501012.1500000004</v>
      </c>
      <c r="I17" s="199">
        <f t="shared" si="1"/>
        <v>0.99202265439956927</v>
      </c>
      <c r="J17" s="198">
        <f>Pasākumu_līmenis!X44+Pasākumu_līmenis!X45+Pasākumu_līmenis!X46</f>
        <v>8501012.1500000004</v>
      </c>
      <c r="K17" s="199">
        <f t="shared" si="2"/>
        <v>0.99202265439956927</v>
      </c>
      <c r="L17" s="198">
        <f>Pasākumu_līmenis!AE44+Pasākumu_līmenis!AE45+Pasākumu_līmenis!AE46</f>
        <v>8501012.1500000004</v>
      </c>
      <c r="M17" s="200">
        <f t="shared" si="3"/>
        <v>0.99202265439956927</v>
      </c>
      <c r="N17" s="64"/>
      <c r="O17" s="64"/>
      <c r="P17" s="64"/>
      <c r="Q17" s="64"/>
      <c r="R17" s="64"/>
      <c r="S17" s="64"/>
      <c r="U17" s="64"/>
      <c r="V17" s="64"/>
      <c r="W17" s="64"/>
      <c r="X17" s="64"/>
      <c r="Y17" s="64"/>
      <c r="Z17" s="64"/>
      <c r="AA17" s="64"/>
    </row>
    <row r="18" spans="1:27" ht="21.75" customHeight="1" x14ac:dyDescent="0.3">
      <c r="A18" s="70" t="s">
        <v>352</v>
      </c>
      <c r="B18" s="198">
        <f>Pasākumu_līmenis!F135+Pasākumu_līmenis!F136+Pasākumu_līmenis!F137+Pasākumu_līmenis!F138+Pasākumu_līmenis!F139+Pasākumu_līmenis!F144+Pasākumu_līmenis!F140+Pasākumu_līmenis!F164+Pasākumu_līmenis!F170</f>
        <v>346150932</v>
      </c>
      <c r="C18" s="198">
        <f>Pasākumu_līmenis!G135+Pasākumu_līmenis!G136+Pasākumu_līmenis!G137+Pasākumu_līmenis!G138+Pasākumu_līmenis!G139+Pasākumu_līmenis!G144+Pasākumu_līmenis!G140+Pasākumu_līmenis!G164+Pasākumu_līmenis!G170</f>
        <v>14530393</v>
      </c>
      <c r="D18" s="198">
        <f t="shared" si="4"/>
        <v>360681325</v>
      </c>
      <c r="E18" s="198">
        <f>Pasākumu_līmenis!I135+Pasākumu_līmenis!I136+Pasākumu_līmenis!I137+Pasākumu_līmenis!I138+Pasākumu_līmenis!I139+Pasākumu_līmenis!I144</f>
        <v>9279588</v>
      </c>
      <c r="F18" s="198">
        <f>Pasākumu_līmenis!J135+Pasākumu_līmenis!J136+Pasākumu_līmenis!J137+Pasākumu_līmenis!J138+Pasākumu_līmenis!J139+Pasākumu_līmenis!J144+Pasākumu_līmenis!J140+Pasākumu_līmenis!J164+Pasākumu_līmenis!J170</f>
        <v>322214366.90999997</v>
      </c>
      <c r="G18" s="199">
        <f t="shared" si="0"/>
        <v>0.93084934091698468</v>
      </c>
      <c r="H18" s="198">
        <f>Pasākumu_līmenis!Q135+Pasākumu_līmenis!Q136+Pasākumu_līmenis!Q137+Pasākumu_līmenis!Q138+Pasākumu_līmenis!Q139+Pasākumu_līmenis!Q144+Pasākumu_līmenis!Q140+Pasākumu_līmenis!Q164+Pasākumu_līmenis!Q170</f>
        <v>322214366.90999997</v>
      </c>
      <c r="I18" s="199">
        <f t="shared" si="1"/>
        <v>0.93084934091698468</v>
      </c>
      <c r="J18" s="198">
        <f>Pasākumu_līmenis!X135+Pasākumu_līmenis!X136+Pasākumu_līmenis!X137+Pasākumu_līmenis!X138+Pasākumu_līmenis!X139+Pasākumu_līmenis!X144+Pasākumu_līmenis!X140+Pasākumu_līmenis!X164+Pasākumu_līmenis!X170</f>
        <v>322214366.90999997</v>
      </c>
      <c r="K18" s="199">
        <f t="shared" si="2"/>
        <v>0.93084934091698468</v>
      </c>
      <c r="L18" s="198">
        <f>Pasākumu_līmenis!AE135+Pasākumu_līmenis!AE136+Pasākumu_līmenis!AE137+Pasākumu_līmenis!AE138+Pasākumu_līmenis!AE139+Pasākumu_līmenis!AE144+Pasākumu_līmenis!AE140+Pasākumu_līmenis!AE164+Pasākumu_līmenis!AE170</f>
        <v>316146400.28999996</v>
      </c>
      <c r="M18" s="200">
        <f t="shared" si="3"/>
        <v>0.91331951199253147</v>
      </c>
      <c r="N18" s="64"/>
      <c r="O18" s="64"/>
      <c r="P18" s="64"/>
      <c r="Q18" s="64"/>
      <c r="R18" s="64"/>
      <c r="S18" s="64"/>
      <c r="U18" s="64"/>
      <c r="V18" s="64"/>
      <c r="W18" s="64"/>
      <c r="X18" s="64"/>
      <c r="Y18" s="64"/>
      <c r="Z18" s="64"/>
      <c r="AA18" s="64"/>
    </row>
    <row r="19" spans="1:27" ht="21.75" customHeight="1" thickBot="1" x14ac:dyDescent="0.35">
      <c r="A19" s="71" t="s">
        <v>400</v>
      </c>
      <c r="B19" s="201">
        <f>Pasākumu_līmenis!F58</f>
        <v>0</v>
      </c>
      <c r="C19" s="201">
        <f>Pasākumu_līmenis!G58</f>
        <v>36881516</v>
      </c>
      <c r="D19" s="201">
        <f t="shared" si="4"/>
        <v>36881516</v>
      </c>
      <c r="E19" s="201">
        <f>Pasākumu_līmenis!I58</f>
        <v>2249596.9460619101</v>
      </c>
      <c r="F19" s="201">
        <f>Pasākumu_līmenis!J58</f>
        <v>36460624.560000002</v>
      </c>
      <c r="G19" s="202">
        <f>IFERROR(F19/B19,1)</f>
        <v>1</v>
      </c>
      <c r="H19" s="201">
        <f>Pasākumu_līmenis!Q58</f>
        <v>36460624.560000002</v>
      </c>
      <c r="I19" s="202">
        <f>IFERROR(H19/B19,1)</f>
        <v>1</v>
      </c>
      <c r="J19" s="201">
        <f>Pasākumu_līmenis!X58</f>
        <v>36460624.560000002</v>
      </c>
      <c r="K19" s="202">
        <f>IFERROR(J19/B19,1)</f>
        <v>1</v>
      </c>
      <c r="L19" s="201">
        <f>Pasākumu_līmenis!AE58</f>
        <v>36460624.530000001</v>
      </c>
      <c r="M19" s="203">
        <f>IFERROR(L19/B19,1)</f>
        <v>1</v>
      </c>
      <c r="N19" s="64"/>
      <c r="O19" s="64"/>
      <c r="P19" s="64"/>
      <c r="Q19" s="64"/>
      <c r="R19" s="64"/>
      <c r="S19" s="64"/>
      <c r="U19" s="64"/>
      <c r="V19" s="64"/>
      <c r="W19" s="64"/>
      <c r="X19" s="64"/>
      <c r="Y19" s="64"/>
      <c r="Z19" s="64"/>
      <c r="AA19" s="64"/>
    </row>
    <row r="20" spans="1:27" ht="5.25" customHeight="1" thickBot="1" x14ac:dyDescent="0.35">
      <c r="A20" s="87"/>
      <c r="B20" s="88"/>
      <c r="C20" s="88"/>
      <c r="D20" s="88"/>
      <c r="E20" s="88"/>
      <c r="F20" s="88"/>
      <c r="G20" s="88"/>
      <c r="H20" s="88"/>
      <c r="I20" s="88"/>
      <c r="J20" s="88"/>
      <c r="K20" s="88"/>
      <c r="L20" s="88"/>
      <c r="M20" s="89"/>
      <c r="O20" s="64"/>
      <c r="P20" s="64"/>
      <c r="Q20" s="64"/>
      <c r="R20" s="64"/>
      <c r="S20" s="64"/>
      <c r="U20" s="64"/>
      <c r="V20" s="64"/>
      <c r="W20" s="64"/>
      <c r="X20" s="64"/>
      <c r="Y20" s="64"/>
      <c r="Z20" s="64"/>
      <c r="AA20" s="64"/>
    </row>
    <row r="21" spans="1:27" ht="30.75" customHeight="1" x14ac:dyDescent="0.3">
      <c r="A21" s="81" t="s">
        <v>346</v>
      </c>
      <c r="B21" s="72">
        <f>SUM(B22:B27)</f>
        <v>675925610</v>
      </c>
      <c r="C21" s="72">
        <f>SUM(C22:C27)</f>
        <v>1589796</v>
      </c>
      <c r="D21" s="72">
        <f t="shared" si="4"/>
        <v>677515406</v>
      </c>
      <c r="E21" s="72">
        <f>SUM(E22:E27)</f>
        <v>18276798.709648196</v>
      </c>
      <c r="F21" s="72">
        <f>SUM(F22:F27)</f>
        <v>667741575.71999991</v>
      </c>
      <c r="G21" s="204">
        <f t="shared" si="0"/>
        <v>0.98789210800874949</v>
      </c>
      <c r="H21" s="72">
        <f>SUM(H22:H27)</f>
        <v>667741575.71999991</v>
      </c>
      <c r="I21" s="204">
        <f t="shared" si="1"/>
        <v>0.98789210800874949</v>
      </c>
      <c r="J21" s="72">
        <f>SUM(J22:J27)</f>
        <v>667741575.71999991</v>
      </c>
      <c r="K21" s="204">
        <f t="shared" si="2"/>
        <v>0.98789210800874949</v>
      </c>
      <c r="L21" s="72">
        <f>SUM(L22:L27)</f>
        <v>667124835.27999997</v>
      </c>
      <c r="M21" s="205">
        <f t="shared" ref="M21:M44" si="5">L21/B21</f>
        <v>0.98697966967104556</v>
      </c>
      <c r="N21" s="65"/>
      <c r="O21" s="65"/>
      <c r="P21" s="65"/>
      <c r="Q21" s="65"/>
      <c r="S21" s="65"/>
      <c r="T21" s="65"/>
      <c r="U21" s="65"/>
      <c r="V21" s="65"/>
      <c r="W21" s="65"/>
      <c r="Y21" s="65"/>
      <c r="Z21" s="65"/>
    </row>
    <row r="22" spans="1:27" ht="30.75" customHeight="1" x14ac:dyDescent="0.3">
      <c r="A22" s="73" t="s">
        <v>356</v>
      </c>
      <c r="B22" s="206">
        <f>Pasākumu_līmenis!F146+Pasākumu_līmenis!F147+Pasākumu_līmenis!F148</f>
        <v>21420040</v>
      </c>
      <c r="C22" s="206">
        <f>Pasākumu_līmenis!G146+Pasākumu_līmenis!G147+Pasākumu_līmenis!G148</f>
        <v>0</v>
      </c>
      <c r="D22" s="206">
        <f t="shared" si="4"/>
        <v>21420040</v>
      </c>
      <c r="E22" s="206">
        <f>Pasākumu_līmenis!I146+Pasākumu_līmenis!I147+Pasākumu_līmenis!I148</f>
        <v>0</v>
      </c>
      <c r="F22" s="206">
        <f>Pasākumu_līmenis!J146+Pasākumu_līmenis!J147+Pasākumu_līmenis!J148</f>
        <v>20958161.16</v>
      </c>
      <c r="G22" s="207">
        <f t="shared" si="0"/>
        <v>0.97843706921182216</v>
      </c>
      <c r="H22" s="206">
        <f>Pasākumu_līmenis!Q146+Pasākumu_līmenis!Q147+Pasākumu_līmenis!Q148</f>
        <v>20958161.16</v>
      </c>
      <c r="I22" s="207">
        <f t="shared" si="1"/>
        <v>0.97843706921182216</v>
      </c>
      <c r="J22" s="206">
        <f>Pasākumu_līmenis!X146+Pasākumu_līmenis!X147+Pasākumu_līmenis!X148</f>
        <v>20958161.16</v>
      </c>
      <c r="K22" s="207">
        <f t="shared" si="2"/>
        <v>0.97843706921182216</v>
      </c>
      <c r="L22" s="206">
        <f>Pasākumu_līmenis!AE146+Pasākumu_līmenis!AE147+Pasākumu_līmenis!AE148</f>
        <v>20958105.09</v>
      </c>
      <c r="M22" s="208">
        <f t="shared" si="5"/>
        <v>0.97843445156965159</v>
      </c>
      <c r="N22" s="66"/>
      <c r="O22" s="66"/>
      <c r="P22" s="66"/>
      <c r="Q22" s="66"/>
      <c r="S22" s="66"/>
      <c r="T22" s="66"/>
      <c r="U22" s="66"/>
      <c r="V22" s="66"/>
      <c r="W22" s="66"/>
      <c r="Y22" s="66"/>
      <c r="Z22" s="66"/>
    </row>
    <row r="23" spans="1:27" ht="18.75" x14ac:dyDescent="0.3">
      <c r="A23" s="74" t="s">
        <v>348</v>
      </c>
      <c r="B23" s="198">
        <f>Pasākumu_līmenis!F102+Pasākumu_līmenis!F103+Pasākumu_līmenis!F104+Pasākumu_līmenis!F105+Pasākumu_līmenis!F106+Pasākumu_līmenis!F107+Pasākumu_līmenis!F108+Pasākumu_līmenis!F109+Pasākumu_līmenis!F110+Pasākumu_līmenis!F111+Pasākumu_līmenis!F112+Pasākumu_līmenis!F113+Pasākumu_līmenis!F114+Pasākumu_līmenis!F115+Pasākumu_līmenis!F116+Pasākumu_līmenis!F117+Pasākumu_līmenis!F118</f>
        <v>251868434</v>
      </c>
      <c r="C23" s="198">
        <f>Pasākumu_līmenis!G102+Pasākumu_līmenis!G103+Pasākumu_līmenis!G104+Pasākumu_līmenis!G105+Pasākumu_līmenis!G106+Pasākumu_līmenis!G107+Pasākumu_līmenis!G108+Pasākumu_līmenis!G109+Pasākumu_līmenis!G110+Pasākumu_līmenis!G111+Pasākumu_līmenis!G112+Pasākumu_līmenis!G113+Pasākumu_līmenis!G114+Pasākumu_līmenis!G115+Pasākumu_līmenis!G116+Pasākumu_līmenis!G117+Pasākumu_līmenis!G118</f>
        <v>0</v>
      </c>
      <c r="D23" s="198">
        <f t="shared" si="4"/>
        <v>251868434</v>
      </c>
      <c r="E23" s="198">
        <f>Pasākumu_līmenis!I102+Pasākumu_līmenis!I103+Pasākumu_līmenis!I104+Pasākumu_līmenis!I105+Pasākumu_līmenis!I106+Pasākumu_līmenis!I107+Pasākumu_līmenis!I108+Pasākumu_līmenis!I109+Pasākumu_līmenis!I110+Pasākumu_līmenis!I111+Pasākumu_līmenis!I112+Pasākumu_līmenis!I113+Pasākumu_līmenis!I114+Pasākumu_līmenis!I115+Pasākumu_līmenis!I116+Pasākumu_līmenis!I117+Pasākumu_līmenis!I118</f>
        <v>6514898.5420770217</v>
      </c>
      <c r="F23" s="198">
        <f>Pasākumu_līmenis!J102+Pasākumu_līmenis!J103+Pasākumu_līmenis!J104+Pasākumu_līmenis!J105+Pasākumu_līmenis!J106+Pasākumu_līmenis!J107+Pasākumu_līmenis!J108+Pasākumu_līmenis!J109+Pasākumu_līmenis!J110+Pasākumu_līmenis!J111+Pasākumu_līmenis!J112+Pasākumu_līmenis!J113+Pasākumu_līmenis!J114+Pasākumu_līmenis!J115+Pasākumu_līmenis!J116+Pasākumu_līmenis!J117+Pasākumu_līmenis!J118</f>
        <v>246633136.33999997</v>
      </c>
      <c r="G23" s="199">
        <f t="shared" si="0"/>
        <v>0.97921415726116745</v>
      </c>
      <c r="H23" s="198">
        <f>Pasākumu_līmenis!Q102+Pasākumu_līmenis!Q103+Pasākumu_līmenis!Q104+Pasākumu_līmenis!Q105+Pasākumu_līmenis!Q106+Pasākumu_līmenis!Q107+Pasākumu_līmenis!Q108+Pasākumu_līmenis!Q109+Pasākumu_līmenis!Q110+Pasākumu_līmenis!Q111+Pasākumu_līmenis!Q112+Pasākumu_līmenis!Q113+Pasākumu_līmenis!Q114+Pasākumu_līmenis!Q115+Pasākumu_līmenis!Q116+Pasākumu_līmenis!Q117+Pasākumu_līmenis!Q118</f>
        <v>246633136.33999997</v>
      </c>
      <c r="I23" s="199">
        <f t="shared" si="1"/>
        <v>0.97921415726116745</v>
      </c>
      <c r="J23" s="198">
        <f>Pasākumu_līmenis!X102+Pasākumu_līmenis!X103+Pasākumu_līmenis!X104+Pasākumu_līmenis!X105+Pasākumu_līmenis!X106+Pasākumu_līmenis!X107+Pasākumu_līmenis!X108+Pasākumu_līmenis!X109+Pasākumu_līmenis!X110+Pasākumu_līmenis!X111+Pasākumu_līmenis!X112+Pasākumu_līmenis!X113+Pasākumu_līmenis!X114+Pasākumu_līmenis!X115+Pasākumu_līmenis!X116+Pasākumu_līmenis!X117+Pasākumu_līmenis!X118</f>
        <v>246633136.33999997</v>
      </c>
      <c r="K23" s="199">
        <f t="shared" si="2"/>
        <v>0.97921415726116745</v>
      </c>
      <c r="L23" s="198">
        <f>Pasākumu_līmenis!AE102+Pasākumu_līmenis!AE103+Pasākumu_līmenis!AE104+Pasākumu_līmenis!AE105+Pasākumu_līmenis!AE106+Pasākumu_līmenis!AE107+Pasākumu_līmenis!AE108+Pasākumu_līmenis!AE109+Pasākumu_līmenis!AE110+Pasākumu_līmenis!AE111+Pasākumu_līmenis!AE112+Pasākumu_līmenis!AE113+Pasākumu_līmenis!AE114+Pasākumu_līmenis!AE115+Pasākumu_līmenis!AE116+Pasākumu_līmenis!AE117+Pasākumu_līmenis!AE118</f>
        <v>246612169.31</v>
      </c>
      <c r="M23" s="200">
        <f t="shared" si="5"/>
        <v>0.97913091129950802</v>
      </c>
      <c r="N23" s="66"/>
      <c r="O23" s="66"/>
      <c r="P23" s="66"/>
      <c r="Q23" s="66"/>
      <c r="S23" s="66"/>
      <c r="T23" s="66"/>
      <c r="U23" s="66"/>
      <c r="V23" s="66"/>
      <c r="W23" s="66"/>
      <c r="Y23" s="66"/>
      <c r="Z23" s="66"/>
    </row>
    <row r="24" spans="1:27" ht="18.75" x14ac:dyDescent="0.3">
      <c r="A24" s="74" t="s">
        <v>351</v>
      </c>
      <c r="B24" s="198">
        <f>Pasākumu_līmenis!F87+Pasākumu_līmenis!F88+Pasākumu_līmenis!F89+Pasākumu_līmenis!F90+Pasākumu_līmenis!F92+Pasākumu_līmenis!F94+Pasākumu_līmenis!F95+Pasākumu_līmenis!F96+Pasākumu_līmenis!F120+Pasākumu_līmenis!F121+Pasākumu_līmenis!F122+Pasākumu_līmenis!F125+Pasākumu_līmenis!F126+Pasākumu_līmenis!F127+Pasākumu_līmenis!F128+Pasākumu_līmenis!F129+Pasākumu_līmenis!F130+Pasākumu_līmenis!F131+Pasākumu_līmenis!F132+Pasākumu_līmenis!F133+Pasākumu_līmenis!F134</f>
        <v>306292330</v>
      </c>
      <c r="C24" s="198">
        <f>Pasākumu_līmenis!G87+Pasākumu_līmenis!G88+Pasākumu_līmenis!G89+Pasākumu_līmenis!G90+Pasākumu_līmenis!G92+Pasākumu_līmenis!G94+Pasākumu_līmenis!G95+Pasākumu_līmenis!G96+Pasākumu_līmenis!G120+Pasākumu_līmenis!G121+Pasākumu_līmenis!G122+Pasākumu_līmenis!G125+Pasākumu_līmenis!G126+Pasākumu_līmenis!G127+Pasākumu_līmenis!G128+Pasākumu_līmenis!G129+Pasākumu_līmenis!G130+Pasākumu_līmenis!G131+Pasākumu_līmenis!G132+Pasākumu_līmenis!G133</f>
        <v>0</v>
      </c>
      <c r="D24" s="198">
        <f t="shared" si="4"/>
        <v>306292330</v>
      </c>
      <c r="E24" s="198">
        <f>Pasākumu_līmenis!I87+Pasākumu_līmenis!I88+Pasākumu_līmenis!I89+Pasākumu_līmenis!I90+Pasākumu_līmenis!I92+Pasākumu_līmenis!I94+Pasākumu_līmenis!I95+Pasākumu_līmenis!I96+Pasākumu_līmenis!I120+Pasākumu_līmenis!I121+Pasākumu_līmenis!I122+Pasākumu_līmenis!I125+Pasākumu_līmenis!I126+Pasākumu_līmenis!I127+Pasākumu_līmenis!I128+Pasākumu_līmenis!I129+Pasākumu_līmenis!I130+Pasākumu_līmenis!I131+Pasākumu_līmenis!I132+Pasākumu_līmenis!I133</f>
        <v>10141361</v>
      </c>
      <c r="F24" s="198">
        <f>Pasākumu_līmenis!J87+Pasākumu_līmenis!J88+Pasākumu_līmenis!J89+Pasākumu_līmenis!J90+Pasākumu_līmenis!J92+Pasākumu_līmenis!J94+Pasākumu_līmenis!J95+Pasākumu_līmenis!J96+Pasākumu_līmenis!J120+Pasākumu_līmenis!J121+Pasākumu_līmenis!J122+Pasākumu_līmenis!J125+Pasākumu_līmenis!J126+Pasākumu_līmenis!J127+Pasākumu_līmenis!J128+Pasākumu_līmenis!J129+Pasākumu_līmenis!J130+Pasākumu_līmenis!J131+Pasākumu_līmenis!J132+Pasākumu_līmenis!J133+Pasākumu_līmenis!J134</f>
        <v>303008036.07999998</v>
      </c>
      <c r="G24" s="199">
        <f t="shared" si="0"/>
        <v>0.9892772570570082</v>
      </c>
      <c r="H24" s="198">
        <f>Pasākumu_līmenis!Q87+Pasākumu_līmenis!Q88+Pasākumu_līmenis!Q89+Pasākumu_līmenis!Q90+Pasākumu_līmenis!Q92+Pasākumu_līmenis!Q94+Pasākumu_līmenis!Q95+Pasākumu_līmenis!Q96+Pasākumu_līmenis!Q120+Pasākumu_līmenis!Q121+Pasākumu_līmenis!Q122+Pasākumu_līmenis!Q125+Pasākumu_līmenis!Q126+Pasākumu_līmenis!Q127+Pasākumu_līmenis!Q128+Pasākumu_līmenis!Q129+Pasākumu_līmenis!Q130+Pasākumu_līmenis!Q131+Pasākumu_līmenis!Q132+Pasākumu_līmenis!Q133+Pasākumu_līmenis!Q134</f>
        <v>303008036.07999998</v>
      </c>
      <c r="I24" s="199">
        <f t="shared" si="1"/>
        <v>0.9892772570570082</v>
      </c>
      <c r="J24" s="198">
        <f>Pasākumu_līmenis!X87+Pasākumu_līmenis!X88+Pasākumu_līmenis!X89+Pasākumu_līmenis!X90+Pasākumu_līmenis!X92+Pasākumu_līmenis!X94+Pasākumu_līmenis!X95+Pasākumu_līmenis!X96+Pasākumu_līmenis!X120+Pasākumu_līmenis!X121+Pasākumu_līmenis!X122+Pasākumu_līmenis!X125+Pasākumu_līmenis!X126+Pasākumu_līmenis!X127+Pasākumu_līmenis!X128+Pasākumu_līmenis!X129+Pasākumu_līmenis!X130+Pasākumu_līmenis!X131+Pasākumu_līmenis!X132+Pasākumu_līmenis!X133+Pasākumu_līmenis!X134</f>
        <v>303008036.07999998</v>
      </c>
      <c r="K24" s="199">
        <f t="shared" si="2"/>
        <v>0.9892772570570082</v>
      </c>
      <c r="L24" s="198">
        <f>Pasākumu_līmenis!AE87+Pasākumu_līmenis!AE88+Pasākumu_līmenis!AE89+Pasākumu_līmenis!AE90+Pasākumu_līmenis!AE92+Pasākumu_līmenis!AE94+Pasākumu_līmenis!AE95+Pasākumu_līmenis!AE96+Pasākumu_līmenis!AE120+Pasākumu_līmenis!AE121+Pasākumu_līmenis!AE122+Pasākumu_līmenis!AE125+Pasākumu_līmenis!AE126+Pasākumu_līmenis!AE127+Pasākumu_līmenis!AE128+Pasākumu_līmenis!AE129+Pasākumu_līmenis!AE130+Pasākumu_līmenis!AE131+Pasākumu_līmenis!AE132+Pasākumu_līmenis!AE133+Pasākumu_līmenis!AE134</f>
        <v>302417887.48999995</v>
      </c>
      <c r="M24" s="200">
        <f t="shared" si="5"/>
        <v>0.98735050756902709</v>
      </c>
      <c r="N24" s="66"/>
      <c r="O24" s="66"/>
      <c r="P24" s="66"/>
      <c r="Q24" s="66"/>
      <c r="S24" s="66"/>
      <c r="T24" s="66"/>
      <c r="U24" s="66"/>
      <c r="V24" s="66"/>
      <c r="W24" s="66"/>
      <c r="Y24" s="66"/>
      <c r="Z24" s="66"/>
    </row>
    <row r="25" spans="1:27" ht="18.75" x14ac:dyDescent="0.3">
      <c r="A25" s="74" t="s">
        <v>353</v>
      </c>
      <c r="B25" s="198">
        <f>Pasākumu_līmenis!F43+Pasākumu_līmenis!F123+Pasākumu_līmenis!F124</f>
        <v>17490523</v>
      </c>
      <c r="C25" s="198">
        <f>Pasākumu_līmenis!G43+Pasākumu_līmenis!G123+Pasākumu_līmenis!G124</f>
        <v>0</v>
      </c>
      <c r="D25" s="198">
        <f t="shared" si="4"/>
        <v>17490523</v>
      </c>
      <c r="E25" s="198">
        <f>Pasākumu_līmenis!I43+Pasākumu_līmenis!I123+Pasākumu_līmenis!I124</f>
        <v>1087651</v>
      </c>
      <c r="F25" s="198">
        <f>Pasākumu_līmenis!J43+Pasākumu_līmenis!J123+Pasākumu_līmenis!J124</f>
        <v>17479673.399999999</v>
      </c>
      <c r="G25" s="199">
        <f t="shared" si="0"/>
        <v>0.99937968693103107</v>
      </c>
      <c r="H25" s="198">
        <f>Pasākumu_līmenis!Q43+Pasākumu_līmenis!Q123+Pasākumu_līmenis!Q124</f>
        <v>17479673.399999999</v>
      </c>
      <c r="I25" s="199">
        <f t="shared" si="1"/>
        <v>0.99937968693103107</v>
      </c>
      <c r="J25" s="198">
        <f>Pasākumu_līmenis!X43+Pasākumu_līmenis!X123+Pasākumu_līmenis!X124</f>
        <v>17479673.399999999</v>
      </c>
      <c r="K25" s="199">
        <f t="shared" si="2"/>
        <v>0.99937968693103107</v>
      </c>
      <c r="L25" s="198">
        <f>Pasākumu_līmenis!AE43+Pasākumu_līmenis!AE123+Pasākumu_līmenis!AE124</f>
        <v>17479673.399999999</v>
      </c>
      <c r="M25" s="200">
        <f t="shared" si="5"/>
        <v>0.99937968693103107</v>
      </c>
      <c r="N25" s="66"/>
      <c r="O25" s="66"/>
      <c r="P25" s="66"/>
      <c r="Q25" s="66"/>
      <c r="S25" s="66"/>
      <c r="T25" s="66"/>
      <c r="U25" s="66"/>
      <c r="V25" s="66"/>
      <c r="W25" s="66"/>
      <c r="Y25" s="66"/>
      <c r="Z25" s="66"/>
    </row>
    <row r="26" spans="1:27" ht="18.75" x14ac:dyDescent="0.3">
      <c r="A26" s="74" t="s">
        <v>354</v>
      </c>
      <c r="B26" s="198">
        <f>Pasākumu_līmenis!F45+Pasākumu_līmenis!F44+Pasākumu_līmenis!F46</f>
        <v>8569373</v>
      </c>
      <c r="C26" s="198">
        <f>Pasākumu_līmenis!G45</f>
        <v>0</v>
      </c>
      <c r="D26" s="198">
        <f>Pasākumu_līmenis!H45+Pasākumu_līmenis!H44+Pasākumu_līmenis!H46</f>
        <v>8569373</v>
      </c>
      <c r="E26" s="198">
        <f>Pasākumu_līmenis!I45+Pasākumu_līmenis!I44+Pasākumu_līmenis!I46</f>
        <v>532888.16757117736</v>
      </c>
      <c r="F26" s="198">
        <f>Pasākumu_līmenis!J45+Pasākumu_līmenis!J44+Pasākumu_līmenis!J46</f>
        <v>8501012.1500000004</v>
      </c>
      <c r="G26" s="199">
        <f t="shared" si="0"/>
        <v>0.99202265439956927</v>
      </c>
      <c r="H26" s="198">
        <f>Pasākumu_līmenis!Q45+Pasākumu_līmenis!Q44+Pasākumu_līmenis!Q46</f>
        <v>8501012.1500000004</v>
      </c>
      <c r="I26" s="199">
        <f t="shared" si="1"/>
        <v>0.99202265439956927</v>
      </c>
      <c r="J26" s="198">
        <f>Pasākumu_līmenis!X45+Pasākumu_līmenis!X44+Pasākumu_līmenis!X46</f>
        <v>8501012.1500000004</v>
      </c>
      <c r="K26" s="199">
        <f t="shared" si="2"/>
        <v>0.99202265439956927</v>
      </c>
      <c r="L26" s="198">
        <f>Pasākumu_līmenis!AE45+Pasākumu_līmenis!AE44+Pasākumu_līmenis!AE46</f>
        <v>8501012.1500000004</v>
      </c>
      <c r="M26" s="200">
        <f t="shared" si="5"/>
        <v>0.99202265439956927</v>
      </c>
      <c r="N26" s="66"/>
      <c r="O26" s="66"/>
      <c r="P26" s="66"/>
      <c r="Q26" s="66"/>
      <c r="S26" s="66"/>
      <c r="T26" s="66"/>
      <c r="U26" s="66"/>
      <c r="V26" s="66"/>
      <c r="W26" s="66"/>
      <c r="Y26" s="66"/>
      <c r="Z26" s="66"/>
    </row>
    <row r="27" spans="1:27" ht="18.75" x14ac:dyDescent="0.3">
      <c r="A27" s="75" t="s">
        <v>352</v>
      </c>
      <c r="B27" s="209">
        <f>Pasākumu_līmenis!F135+Pasākumu_līmenis!F136+Pasākumu_līmenis!F137+Pasākumu_līmenis!F138+Pasākumu_līmenis!F139+Pasākumu_līmenis!F140</f>
        <v>70284910</v>
      </c>
      <c r="C27" s="209">
        <f>Pasākumu_līmenis!G135+Pasākumu_līmenis!G136+Pasākumu_līmenis!G137+Pasākumu_līmenis!G138+Pasākumu_līmenis!G139+Pasākumu_līmenis!G140</f>
        <v>1589796</v>
      </c>
      <c r="D27" s="209">
        <f t="shared" si="4"/>
        <v>71874706</v>
      </c>
      <c r="E27" s="209">
        <f>Pasākumu_līmenis!I135+Pasākumu_līmenis!I136+Pasākumu_līmenis!I137+Pasākumu_līmenis!I138+Pasākumu_līmenis!I139</f>
        <v>0</v>
      </c>
      <c r="F27" s="209">
        <f>Pasākumu_līmenis!J135+Pasākumu_līmenis!J136+Pasākumu_līmenis!J137+Pasākumu_līmenis!J138+Pasākumu_līmenis!J139+Pasākumu_līmenis!J140</f>
        <v>71161556.590000004</v>
      </c>
      <c r="G27" s="210">
        <f t="shared" si="0"/>
        <v>1.0124727568122376</v>
      </c>
      <c r="H27" s="209">
        <f>Pasākumu_līmenis!Q135+Pasākumu_līmenis!Q136+Pasākumu_līmenis!Q137+Pasākumu_līmenis!Q138+Pasākumu_līmenis!Q139+Pasākumu_līmenis!Q140</f>
        <v>71161556.590000004</v>
      </c>
      <c r="I27" s="210">
        <f t="shared" si="1"/>
        <v>1.0124727568122376</v>
      </c>
      <c r="J27" s="209">
        <f>Pasākumu_līmenis!X135+Pasākumu_līmenis!X136+Pasākumu_līmenis!X137+Pasākumu_līmenis!X138+Pasākumu_līmenis!X139+Pasākumu_līmenis!X140</f>
        <v>71161556.590000004</v>
      </c>
      <c r="K27" s="210">
        <f t="shared" si="2"/>
        <v>1.0124727568122376</v>
      </c>
      <c r="L27" s="209">
        <f>Pasākumu_līmenis!AE135+Pasākumu_līmenis!AE136+Pasākumu_līmenis!AE137+Pasākumu_līmenis!AE138+Pasākumu_līmenis!AE139+Pasākumu_līmenis!AE140</f>
        <v>71155987.840000004</v>
      </c>
      <c r="M27" s="211">
        <f t="shared" si="5"/>
        <v>1.0123935257226624</v>
      </c>
      <c r="N27" s="66"/>
      <c r="O27" s="66"/>
      <c r="P27" s="66"/>
      <c r="Q27" s="66"/>
      <c r="S27" s="66"/>
      <c r="T27" s="66"/>
      <c r="U27" s="66"/>
      <c r="V27" s="66"/>
      <c r="W27" s="66"/>
      <c r="Y27" s="66"/>
      <c r="Z27" s="66"/>
    </row>
    <row r="28" spans="1:27" s="67" customFormat="1" ht="20.25" x14ac:dyDescent="0.3">
      <c r="A28" s="82" t="s">
        <v>358</v>
      </c>
      <c r="B28" s="69">
        <f>B29</f>
        <v>29010639</v>
      </c>
      <c r="C28" s="69">
        <f>C29</f>
        <v>0</v>
      </c>
      <c r="D28" s="69">
        <f t="shared" si="4"/>
        <v>29010639</v>
      </c>
      <c r="E28" s="69">
        <f>E29</f>
        <v>0</v>
      </c>
      <c r="F28" s="69">
        <f>F29</f>
        <v>28810403.620000001</v>
      </c>
      <c r="G28" s="212">
        <f t="shared" si="0"/>
        <v>0.99309786385608401</v>
      </c>
      <c r="H28" s="69">
        <f>H29</f>
        <v>28810403.620000001</v>
      </c>
      <c r="I28" s="212">
        <f t="shared" si="1"/>
        <v>0.99309786385608401</v>
      </c>
      <c r="J28" s="69">
        <f>J29</f>
        <v>28810403.620000001</v>
      </c>
      <c r="K28" s="212">
        <f t="shared" si="2"/>
        <v>0.99309786385608401</v>
      </c>
      <c r="L28" s="69">
        <f>L29</f>
        <v>28810403.620000001</v>
      </c>
      <c r="M28" s="213">
        <f t="shared" si="5"/>
        <v>0.99309786385608401</v>
      </c>
      <c r="N28" s="65"/>
      <c r="O28" s="65"/>
      <c r="P28" s="65"/>
      <c r="Q28" s="65"/>
      <c r="S28" s="65"/>
      <c r="T28" s="65"/>
      <c r="U28" s="65"/>
      <c r="V28" s="65"/>
      <c r="W28" s="65"/>
      <c r="Y28" s="65"/>
      <c r="Z28" s="65"/>
    </row>
    <row r="29" spans="1:27" ht="18.75" x14ac:dyDescent="0.3">
      <c r="A29" s="76" t="s">
        <v>351</v>
      </c>
      <c r="B29" s="214">
        <f>Pasākumu_līmenis!F91+Pasākumu_līmenis!F93</f>
        <v>29010639</v>
      </c>
      <c r="C29" s="214">
        <f>Pasākumu_līmenis!G91+Pasākumu_līmenis!G93</f>
        <v>0</v>
      </c>
      <c r="D29" s="214">
        <f t="shared" si="4"/>
        <v>29010639</v>
      </c>
      <c r="E29" s="214">
        <f>Pasākumu_līmenis!I91+Pasākumu_līmenis!I93</f>
        <v>0</v>
      </c>
      <c r="F29" s="214">
        <f>Pasākumu_līmenis!J91+Pasākumu_līmenis!J93</f>
        <v>28810403.620000001</v>
      </c>
      <c r="G29" s="215">
        <f t="shared" si="0"/>
        <v>0.99309786385608401</v>
      </c>
      <c r="H29" s="214">
        <f>Pasākumu_līmenis!Q91+Pasākumu_līmenis!Q93</f>
        <v>28810403.620000001</v>
      </c>
      <c r="I29" s="215">
        <f t="shared" si="1"/>
        <v>0.99309786385608401</v>
      </c>
      <c r="J29" s="214">
        <f>Pasākumu_līmenis!X91+Pasākumu_līmenis!X93</f>
        <v>28810403.620000001</v>
      </c>
      <c r="K29" s="215">
        <f t="shared" si="2"/>
        <v>0.99309786385608401</v>
      </c>
      <c r="L29" s="214">
        <f>Pasākumu_līmenis!AE91+Pasākumu_līmenis!AE93</f>
        <v>28810403.620000001</v>
      </c>
      <c r="M29" s="216">
        <f t="shared" si="5"/>
        <v>0.99309786385608401</v>
      </c>
      <c r="N29" s="66"/>
      <c r="O29" s="66"/>
      <c r="P29" s="66"/>
      <c r="Q29" s="66"/>
      <c r="S29" s="66"/>
      <c r="T29" s="66"/>
      <c r="U29" s="66"/>
      <c r="V29" s="66"/>
      <c r="W29" s="66"/>
      <c r="Y29" s="66"/>
      <c r="Z29" s="66"/>
    </row>
    <row r="30" spans="1:27" s="67" customFormat="1" ht="20.25" x14ac:dyDescent="0.3">
      <c r="A30" s="82" t="s">
        <v>344</v>
      </c>
      <c r="B30" s="69">
        <f>SUM(B31:B39)</f>
        <v>2465883158</v>
      </c>
      <c r="C30" s="69">
        <f>SUM(C31:C39)</f>
        <v>88571709</v>
      </c>
      <c r="D30" s="69">
        <f t="shared" si="4"/>
        <v>2554454867</v>
      </c>
      <c r="E30" s="69">
        <f>SUM(E31:E39)</f>
        <v>106436362.36031559</v>
      </c>
      <c r="F30" s="69">
        <f>SUM(F31:F39)</f>
        <v>2405303815.0900002</v>
      </c>
      <c r="G30" s="212">
        <f t="shared" si="0"/>
        <v>0.97543300350080908</v>
      </c>
      <c r="H30" s="69">
        <f>SUM(H31:H39)</f>
        <v>2405303815.0900002</v>
      </c>
      <c r="I30" s="212">
        <f t="shared" si="1"/>
        <v>0.97543300350080908</v>
      </c>
      <c r="J30" s="69">
        <f>SUM(J31:J39)</f>
        <v>2405303815.0900002</v>
      </c>
      <c r="K30" s="212">
        <f t="shared" si="2"/>
        <v>0.97543300350080908</v>
      </c>
      <c r="L30" s="69">
        <f>SUM(L31:L39)</f>
        <v>2374582481.0799999</v>
      </c>
      <c r="M30" s="213">
        <f t="shared" si="5"/>
        <v>0.96297445131420945</v>
      </c>
      <c r="N30" s="65"/>
      <c r="O30" s="65"/>
      <c r="P30" s="65"/>
      <c r="Q30" s="65"/>
      <c r="S30" s="65"/>
      <c r="T30" s="65"/>
      <c r="U30" s="65"/>
      <c r="V30" s="65"/>
      <c r="W30" s="65"/>
      <c r="Y30" s="65"/>
      <c r="Z30" s="65"/>
    </row>
    <row r="31" spans="1:27" ht="18.75" x14ac:dyDescent="0.3">
      <c r="A31" s="73" t="s">
        <v>349</v>
      </c>
      <c r="B31" s="206">
        <f>SUM(Pasākumu_līmenis!F20:'Pasākumu_līmenis'!F25)+SUM(Pasākumu_līmenis!F31:'Pasākumu_līmenis'!F41)+Pasākumu_līmenis!F49+Pasākumu_līmenis!F50</f>
        <v>691595449</v>
      </c>
      <c r="C31" s="206">
        <f>SUM(Pasākumu_līmenis!G20:'Pasākumu_līmenis'!G25)+SUM(Pasākumu_līmenis!G31:'Pasākumu_līmenis'!G41)+Pasākumu_līmenis!G49+Pasākumu_līmenis!G50</f>
        <v>0</v>
      </c>
      <c r="D31" s="206">
        <f t="shared" si="4"/>
        <v>691595449</v>
      </c>
      <c r="E31" s="206">
        <f>SUM(Pasākumu_līmenis!I20:'Pasākumu_līmenis'!I25)+SUM(Pasākumu_līmenis!I31:'Pasākumu_līmenis'!I41)+Pasākumu_līmenis!I49+Pasākumu_līmenis!I50</f>
        <v>30193580.43290095</v>
      </c>
      <c r="F31" s="206">
        <f>SUM(Pasākumu_līmenis!J20:'Pasākumu_līmenis'!J25)+SUM(Pasākumu_līmenis!J31:'Pasākumu_līmenis'!J41)+Pasākumu_līmenis!J49+Pasākumu_līmenis!J50</f>
        <v>652747958.39999998</v>
      </c>
      <c r="G31" s="207">
        <f t="shared" si="0"/>
        <v>0.94382916970293707</v>
      </c>
      <c r="H31" s="206">
        <f>SUM(Pasākumu_līmenis!Q20:'Pasākumu_līmenis'!Q25)+SUM(Pasākumu_līmenis!Q31:'Pasākumu_līmenis'!Q41)+Pasākumu_līmenis!Q49+Pasākumu_līmenis!Q50</f>
        <v>652747958.39999998</v>
      </c>
      <c r="I31" s="207">
        <f t="shared" si="1"/>
        <v>0.94382916970293707</v>
      </c>
      <c r="J31" s="206">
        <f>SUM(Pasākumu_līmenis!X20:'Pasākumu_līmenis'!X25)+SUM(Pasākumu_līmenis!X31:'Pasākumu_līmenis'!X41)+Pasākumu_līmenis!X49+Pasākumu_līmenis!X50</f>
        <v>652747958.39999998</v>
      </c>
      <c r="K31" s="207">
        <f t="shared" si="2"/>
        <v>0.94382916970293707</v>
      </c>
      <c r="L31" s="206">
        <f>SUM(Pasākumu_līmenis!AE20:'Pasākumu_līmenis'!AE25)+SUM(Pasākumu_līmenis!AE31:'Pasākumu_līmenis'!AE41)+Pasākumu_līmenis!AE49+Pasākumu_līmenis!AE50</f>
        <v>635627972.19999993</v>
      </c>
      <c r="M31" s="208">
        <f t="shared" si="5"/>
        <v>0.91907483358815445</v>
      </c>
      <c r="N31" s="66"/>
      <c r="O31" s="66"/>
      <c r="P31" s="66"/>
      <c r="Q31" s="66"/>
      <c r="S31" s="66"/>
      <c r="T31" s="66"/>
      <c r="U31" s="66"/>
      <c r="V31" s="66"/>
      <c r="W31" s="66"/>
      <c r="Y31" s="66"/>
      <c r="Z31" s="66"/>
    </row>
    <row r="32" spans="1:27" ht="18.75" x14ac:dyDescent="0.3">
      <c r="A32" s="74" t="s">
        <v>356</v>
      </c>
      <c r="B32" s="198">
        <f>Pasākumu_līmenis!F150</f>
        <v>39180553</v>
      </c>
      <c r="C32" s="198">
        <f>Pasākumu_līmenis!G150</f>
        <v>0</v>
      </c>
      <c r="D32" s="198">
        <f t="shared" si="4"/>
        <v>39180553</v>
      </c>
      <c r="E32" s="198">
        <f>Pasākumu_līmenis!I150</f>
        <v>0</v>
      </c>
      <c r="F32" s="198">
        <f>Pasākumu_līmenis!J150</f>
        <v>39151081.200000003</v>
      </c>
      <c r="G32" s="199">
        <f t="shared" si="0"/>
        <v>0.99924779520084883</v>
      </c>
      <c r="H32" s="198">
        <f>Pasākumu_līmenis!Q150</f>
        <v>39151081.200000003</v>
      </c>
      <c r="I32" s="199">
        <f t="shared" si="1"/>
        <v>0.99924779520084883</v>
      </c>
      <c r="J32" s="198">
        <f>Pasākumu_līmenis!X150</f>
        <v>39151081.200000003</v>
      </c>
      <c r="K32" s="199">
        <f t="shared" si="2"/>
        <v>0.99924779520084883</v>
      </c>
      <c r="L32" s="198">
        <f>Pasākumu_līmenis!AE150</f>
        <v>39150971.990000002</v>
      </c>
      <c r="M32" s="200">
        <f t="shared" si="5"/>
        <v>0.99924500784866421</v>
      </c>
      <c r="N32" s="66"/>
      <c r="O32" s="66"/>
      <c r="P32" s="66"/>
      <c r="Q32" s="66"/>
      <c r="S32" s="66"/>
      <c r="T32" s="66"/>
      <c r="U32" s="66"/>
      <c r="V32" s="66"/>
      <c r="W32" s="66"/>
      <c r="Y32" s="66"/>
      <c r="Z32" s="66"/>
    </row>
    <row r="33" spans="1:26" ht="18.75" x14ac:dyDescent="0.3">
      <c r="A33" s="74" t="s">
        <v>348</v>
      </c>
      <c r="B33" s="198">
        <f>Pasākumu_līmenis!F15+Pasākumu_līmenis!F16+Pasākumu_līmenis!F17+Pasākumu_līmenis!F18+Pasākumu_līmenis!F19+Pasākumu_līmenis!F98+Pasākumu_līmenis!F99+Pasākumu_līmenis!F100+Pasākumu_līmenis!F101+Pasākumu_līmenis!F159</f>
        <v>557530973</v>
      </c>
      <c r="C33" s="198">
        <f>Pasākumu_līmenis!G15+Pasākumu_līmenis!G16+Pasākumu_līmenis!G17+Pasākumu_līmenis!G18+Pasākumu_līmenis!G19+Pasākumu_līmenis!G98+Pasākumu_līmenis!G99+Pasākumu_līmenis!G100+Pasākumu_līmenis!G101+Pasākumu_līmenis!G159</f>
        <v>8534803</v>
      </c>
      <c r="D33" s="198">
        <f t="shared" si="4"/>
        <v>566065776</v>
      </c>
      <c r="E33" s="198">
        <f>Pasākumu_līmenis!I15+Pasākumu_līmenis!I16+Pasākumu_līmenis!I17+Pasākumu_līmenis!I18+Pasākumu_līmenis!I19+Pasākumu_līmenis!I98+Pasākumu_līmenis!I99+Pasākumu_līmenis!I100+Pasākumu_līmenis!I101</f>
        <v>16924212.699999999</v>
      </c>
      <c r="F33" s="198">
        <f>Pasākumu_līmenis!J15+Pasākumu_līmenis!J16+Pasākumu_līmenis!J17+Pasākumu_līmenis!J18+Pasākumu_līmenis!J19+Pasākumu_līmenis!J98+Pasākumu_līmenis!J99+Pasākumu_līmenis!J100+Pasākumu_līmenis!J101+Pasākumu_līmenis!J159</f>
        <v>548314395.28999996</v>
      </c>
      <c r="G33" s="199">
        <f t="shared" si="0"/>
        <v>0.98346894046010236</v>
      </c>
      <c r="H33" s="198">
        <f>Pasākumu_līmenis!Q15+Pasākumu_līmenis!Q16+Pasākumu_līmenis!Q17+Pasākumu_līmenis!Q18+Pasākumu_līmenis!Q19+Pasākumu_līmenis!Q98+Pasākumu_līmenis!Q99+Pasākumu_līmenis!Q100+Pasākumu_līmenis!Q101+Pasākumu_līmenis!Q159</f>
        <v>548314395.28999996</v>
      </c>
      <c r="I33" s="199">
        <f t="shared" si="1"/>
        <v>0.98346894046010236</v>
      </c>
      <c r="J33" s="198">
        <f>Pasākumu_līmenis!X15+Pasākumu_līmenis!X16+Pasākumu_līmenis!X17+Pasākumu_līmenis!X18+Pasākumu_līmenis!X19+Pasākumu_līmenis!X98+Pasākumu_līmenis!X99+Pasākumu_līmenis!X100+Pasākumu_līmenis!X101+Pasākumu_līmenis!X159</f>
        <v>548314395.28999996</v>
      </c>
      <c r="K33" s="199">
        <f t="shared" si="2"/>
        <v>0.98346894046010236</v>
      </c>
      <c r="L33" s="198">
        <f>Pasākumu_līmenis!AE15+Pasākumu_līmenis!AE16+Pasākumu_līmenis!AE17+Pasākumu_līmenis!AE18+Pasākumu_līmenis!AE19+Pasākumu_līmenis!AE98+Pasākumu_līmenis!AE99+Pasākumu_līmenis!AE100+Pasākumu_līmenis!AE101+Pasākumu_līmenis!AE159</f>
        <v>541553240.40999997</v>
      </c>
      <c r="M33" s="200">
        <f t="shared" si="5"/>
        <v>0.97134198212517953</v>
      </c>
      <c r="N33" s="66"/>
      <c r="O33" s="66"/>
      <c r="P33" s="66"/>
      <c r="Q33" s="66"/>
      <c r="S33" s="66"/>
      <c r="T33" s="66"/>
      <c r="U33" s="66"/>
      <c r="V33" s="66"/>
      <c r="W33" s="66"/>
      <c r="Y33" s="66"/>
      <c r="Z33" s="66"/>
    </row>
    <row r="34" spans="1:26" ht="18.75" x14ac:dyDescent="0.3">
      <c r="A34" s="76" t="s">
        <v>355</v>
      </c>
      <c r="B34" s="198">
        <f>Pasākumu_līmenis!F68+Pasākumu_līmenis!F69</f>
        <v>126060289</v>
      </c>
      <c r="C34" s="198">
        <f>Pasākumu_līmenis!G68+Pasākumu_līmenis!G69</f>
        <v>0</v>
      </c>
      <c r="D34" s="198">
        <f t="shared" si="4"/>
        <v>126060289</v>
      </c>
      <c r="E34" s="198">
        <f>Pasākumu_līmenis!I68+Pasākumu_līmenis!I69</f>
        <v>0</v>
      </c>
      <c r="F34" s="198">
        <f>Pasākumu_līmenis!J68+Pasākumu_līmenis!J69</f>
        <v>120548560.02</v>
      </c>
      <c r="G34" s="199">
        <f t="shared" si="0"/>
        <v>0.95627703994871849</v>
      </c>
      <c r="H34" s="198">
        <f>Pasākumu_līmenis!Q68+Pasākumu_līmenis!Q69</f>
        <v>120548560.02</v>
      </c>
      <c r="I34" s="199">
        <f t="shared" si="1"/>
        <v>0.95627703994871849</v>
      </c>
      <c r="J34" s="198">
        <f>Pasākumu_līmenis!X68+Pasākumu_līmenis!X69</f>
        <v>120548560.02</v>
      </c>
      <c r="K34" s="199">
        <f t="shared" si="2"/>
        <v>0.95627703994871849</v>
      </c>
      <c r="L34" s="198">
        <f>Pasākumu_līmenis!AE68+Pasākumu_līmenis!AE69</f>
        <v>117246524.58000001</v>
      </c>
      <c r="M34" s="200">
        <f t="shared" si="5"/>
        <v>0.9300829429321712</v>
      </c>
      <c r="N34" s="66"/>
      <c r="O34" s="66"/>
      <c r="P34" s="66"/>
      <c r="Q34" s="66"/>
      <c r="S34" s="66"/>
      <c r="T34" s="66"/>
      <c r="U34" s="66"/>
      <c r="V34" s="66"/>
      <c r="W34" s="66"/>
      <c r="Y34" s="66"/>
      <c r="Z34" s="66"/>
    </row>
    <row r="35" spans="1:26" ht="18.75" x14ac:dyDescent="0.3">
      <c r="A35" s="76" t="s">
        <v>351</v>
      </c>
      <c r="B35" s="198">
        <f>Pasākumu_līmenis!F141+Pasākumu_līmenis!F142+Pasākumu_līmenis!F143</f>
        <v>45695733</v>
      </c>
      <c r="C35" s="198">
        <f>Pasākumu_līmenis!G141+Pasākumu_līmenis!G142+Pasākumu_līmenis!G143</f>
        <v>782851</v>
      </c>
      <c r="D35" s="198">
        <f t="shared" si="4"/>
        <v>46478584</v>
      </c>
      <c r="E35" s="198">
        <f>Pasākumu_līmenis!I141+Pasākumu_līmenis!I142</f>
        <v>2515517</v>
      </c>
      <c r="F35" s="198">
        <f>Pasākumu_līmenis!J141+Pasākumu_līmenis!J142+Pasākumu_līmenis!J143</f>
        <v>42922120.389999993</v>
      </c>
      <c r="G35" s="199">
        <f t="shared" si="0"/>
        <v>0.93930259068171629</v>
      </c>
      <c r="H35" s="198">
        <f>Pasākumu_līmenis!Q141+Pasākumu_līmenis!Q142+Pasākumu_līmenis!Q143</f>
        <v>42922120.389999993</v>
      </c>
      <c r="I35" s="199">
        <f t="shared" si="1"/>
        <v>0.93930259068171629</v>
      </c>
      <c r="J35" s="198">
        <f>Pasākumu_līmenis!X141+Pasākumu_līmenis!X142+Pasākumu_līmenis!X143</f>
        <v>42922120.389999993</v>
      </c>
      <c r="K35" s="199">
        <f t="shared" si="2"/>
        <v>0.93930259068171629</v>
      </c>
      <c r="L35" s="198">
        <f>Pasākumu_līmenis!AE141+Pasākumu_līmenis!AE142+Pasākumu_līmenis!AE143</f>
        <v>42915996.449999996</v>
      </c>
      <c r="M35" s="200">
        <f t="shared" si="5"/>
        <v>0.93916857510525098</v>
      </c>
      <c r="N35" s="66"/>
      <c r="O35" s="66"/>
      <c r="P35" s="66"/>
      <c r="Q35" s="66"/>
      <c r="S35" s="66"/>
      <c r="T35" s="66"/>
      <c r="U35" s="66"/>
      <c r="V35" s="66"/>
      <c r="W35" s="66"/>
      <c r="Y35" s="66"/>
      <c r="Z35" s="66"/>
    </row>
    <row r="36" spans="1:26" ht="18.75" x14ac:dyDescent="0.3">
      <c r="A36" s="76" t="s">
        <v>347</v>
      </c>
      <c r="B36" s="198">
        <f>Pasākumu_līmenis!F27+Pasākumu_līmenis!F53+Pasākumu_līmenis!F85</f>
        <v>284383123</v>
      </c>
      <c r="C36" s="198">
        <f>Pasākumu_līmenis!G27+Pasākumu_līmenis!G53+Pasākumu_līmenis!G85</f>
        <v>0</v>
      </c>
      <c r="D36" s="198">
        <f t="shared" si="4"/>
        <v>284383123</v>
      </c>
      <c r="E36" s="198">
        <f>Pasākumu_līmenis!I27+Pasākumu_līmenis!I53+Pasākumu_līmenis!I85</f>
        <v>14795625.803729689</v>
      </c>
      <c r="F36" s="198">
        <f>Pasākumu_līmenis!J27+Pasākumu_līmenis!J53+Pasākumu_līmenis!J85</f>
        <v>275647511.19999999</v>
      </c>
      <c r="G36" s="199">
        <f t="shared" si="0"/>
        <v>0.96928224253307738</v>
      </c>
      <c r="H36" s="198">
        <f>Pasākumu_līmenis!Q27+Pasākumu_līmenis!Q53+Pasākumu_līmenis!Q85</f>
        <v>275647511.19999999</v>
      </c>
      <c r="I36" s="199">
        <f t="shared" si="1"/>
        <v>0.96928224253307738</v>
      </c>
      <c r="J36" s="198">
        <f>Pasākumu_līmenis!X27+Pasākumu_līmenis!X53+Pasākumu_līmenis!X85</f>
        <v>275647511.19999999</v>
      </c>
      <c r="K36" s="199">
        <f t="shared" si="2"/>
        <v>0.96928224253307738</v>
      </c>
      <c r="L36" s="198">
        <f>Pasākumu_līmenis!AE27+Pasākumu_līmenis!AE53+Pasākumu_līmenis!AE85</f>
        <v>275309394.80000001</v>
      </c>
      <c r="M36" s="200">
        <f t="shared" si="5"/>
        <v>0.96809329574737113</v>
      </c>
      <c r="N36" s="66"/>
      <c r="O36" s="66"/>
      <c r="P36" s="66"/>
      <c r="Q36" s="66"/>
      <c r="S36" s="66"/>
      <c r="T36" s="66"/>
      <c r="U36" s="66"/>
      <c r="V36" s="66"/>
      <c r="W36" s="66"/>
      <c r="Y36" s="66"/>
      <c r="Z36" s="66"/>
    </row>
    <row r="37" spans="1:26" ht="18.75" x14ac:dyDescent="0.3">
      <c r="A37" s="76" t="s">
        <v>350</v>
      </c>
      <c r="B37" s="198">
        <f>Pasākumu_līmenis!F28+Pasākumu_līmenis!F29+Pasākumu_līmenis!F42+Pasākumu_līmenis!F51+Pasākumu_līmenis!F57+Pasākumu_līmenis!F63+Pasākumu_līmenis!F71+Pasākumu_līmenis!F70</f>
        <v>501404132</v>
      </c>
      <c r="C37" s="198">
        <f>Pasākumu_līmenis!G28+Pasākumu_līmenis!G29+Pasākumu_līmenis!G42+Pasākumu_līmenis!G51+Pasākumu_līmenis!G57+Pasākumu_līmenis!G63+Pasākumu_līmenis!G71+Pasākumu_līmenis!G70</f>
        <v>29431942</v>
      </c>
      <c r="D37" s="198">
        <f>Pasākumu_līmenis!H28+Pasākumu_līmenis!H29+Pasākumu_līmenis!H42+Pasākumu_līmenis!H51+Pasākumu_līmenis!H57+Pasākumu_līmenis!H63+Pasākumu_līmenis!H71+Pasākumu_līmenis!H70</f>
        <v>530836074</v>
      </c>
      <c r="E37" s="198">
        <f>Pasākumu_līmenis!I28+Pasākumu_līmenis!I29+Pasākumu_līmenis!I42+Pasākumu_līmenis!I51+Pasākumu_līmenis!I57+Pasākumu_līmenis!I63+Pasākumu_līmenis!I71+Pasākumu_līmenis!I70</f>
        <v>30478241.477623045</v>
      </c>
      <c r="F37" s="198">
        <f>Pasākumu_līmenis!J28+Pasākumu_līmenis!J29+Pasākumu_līmenis!J42+Pasākumu_līmenis!J51+Pasākumu_līmenis!J57+Pasākumu_līmenis!J63+Pasākumu_līmenis!J71+Pasākumu_līmenis!J70</f>
        <v>492396845.21000004</v>
      </c>
      <c r="G37" s="199">
        <f t="shared" si="0"/>
        <v>0.9820358744271378</v>
      </c>
      <c r="H37" s="198">
        <f>Pasākumu_līmenis!Q28+Pasākumu_līmenis!Q29+Pasākumu_līmenis!Q42+Pasākumu_līmenis!Q51+Pasākumu_līmenis!Q57+Pasākumu_līmenis!Q63+Pasākumu_līmenis!Q71+Pasākumu_līmenis!Q70</f>
        <v>492396845.21000004</v>
      </c>
      <c r="I37" s="199">
        <f t="shared" si="1"/>
        <v>0.9820358744271378</v>
      </c>
      <c r="J37" s="198">
        <f>Pasākumu_līmenis!X28+Pasākumu_līmenis!X29+Pasākumu_līmenis!X42+Pasākumu_līmenis!X51+Pasākumu_līmenis!X57+Pasākumu_līmenis!X63+Pasākumu_līmenis!X71+Pasākumu_līmenis!X70</f>
        <v>492396845.21000004</v>
      </c>
      <c r="K37" s="199">
        <f t="shared" si="2"/>
        <v>0.9820358744271378</v>
      </c>
      <c r="L37" s="198">
        <f>Pasākumu_līmenis!AE28+Pasākumu_līmenis!AE29+Pasākumu_līmenis!AE42+Pasākumu_līmenis!AE51+Pasākumu_līmenis!AE57+Pasākumu_līmenis!AE63+Pasākumu_līmenis!AE71+Pasākumu_līmenis!AE70</f>
        <v>491986526.16999996</v>
      </c>
      <c r="M37" s="200">
        <f t="shared" si="5"/>
        <v>0.98121753446180204</v>
      </c>
      <c r="N37" s="66"/>
      <c r="O37" s="66"/>
      <c r="P37" s="66"/>
      <c r="Q37" s="66"/>
      <c r="S37" s="66"/>
      <c r="T37" s="66"/>
      <c r="U37" s="66"/>
      <c r="V37" s="66"/>
      <c r="W37" s="66"/>
      <c r="Y37" s="66"/>
      <c r="Z37" s="66"/>
    </row>
    <row r="38" spans="1:26" ht="18.75" x14ac:dyDescent="0.3">
      <c r="A38" s="76" t="s">
        <v>352</v>
      </c>
      <c r="B38" s="198">
        <f>Pasākumu_līmenis!F144</f>
        <v>220032906</v>
      </c>
      <c r="C38" s="198">
        <f>Pasākumu_līmenis!G144</f>
        <v>12940597</v>
      </c>
      <c r="D38" s="198">
        <f t="shared" si="4"/>
        <v>232973503</v>
      </c>
      <c r="E38" s="198">
        <f>Pasākumu_līmenis!I144</f>
        <v>9279588</v>
      </c>
      <c r="F38" s="198">
        <f>Pasākumu_līmenis!J144</f>
        <v>197114718.81999999</v>
      </c>
      <c r="G38" s="199">
        <f t="shared" si="0"/>
        <v>0.89584200110505285</v>
      </c>
      <c r="H38" s="198">
        <f>Pasākumu_līmenis!Q144</f>
        <v>197114718.81999999</v>
      </c>
      <c r="I38" s="199">
        <f t="shared" si="1"/>
        <v>0.89584200110505285</v>
      </c>
      <c r="J38" s="198">
        <f>Pasākumu_līmenis!X144</f>
        <v>197114718.81999999</v>
      </c>
      <c r="K38" s="199">
        <f t="shared" si="2"/>
        <v>0.89584200110505285</v>
      </c>
      <c r="L38" s="198">
        <f>Pasākumu_līmenis!AE144</f>
        <v>194331229.94999999</v>
      </c>
      <c r="M38" s="200">
        <f t="shared" si="5"/>
        <v>0.88319167111304697</v>
      </c>
      <c r="N38" s="66"/>
      <c r="O38" s="66"/>
      <c r="P38" s="66"/>
      <c r="Q38" s="66"/>
      <c r="S38" s="66"/>
      <c r="T38" s="66"/>
      <c r="U38" s="66"/>
      <c r="V38" s="66"/>
      <c r="W38" s="66"/>
      <c r="Y38" s="66"/>
      <c r="Z38" s="66"/>
    </row>
    <row r="39" spans="1:26" ht="18.75" x14ac:dyDescent="0.3">
      <c r="A39" s="76" t="s">
        <v>400</v>
      </c>
      <c r="B39" s="209">
        <f>Pasākumu_līmenis!F58</f>
        <v>0</v>
      </c>
      <c r="C39" s="209">
        <f>Pasākumu_līmenis!G58</f>
        <v>36881516</v>
      </c>
      <c r="D39" s="209">
        <f t="shared" si="4"/>
        <v>36881516</v>
      </c>
      <c r="E39" s="209">
        <f>Pasākumu_līmenis!I58</f>
        <v>2249596.9460619101</v>
      </c>
      <c r="F39" s="209">
        <f>Pasākumu_līmenis!J58</f>
        <v>36460624.560000002</v>
      </c>
      <c r="G39" s="210">
        <f>IFERROR(F39/B39,1)</f>
        <v>1</v>
      </c>
      <c r="H39" s="209">
        <f>Pasākumu_līmenis!Q58</f>
        <v>36460624.560000002</v>
      </c>
      <c r="I39" s="210">
        <f>IFERROR(H39/B39,1)</f>
        <v>1</v>
      </c>
      <c r="J39" s="209">
        <f>Pasākumu_līmenis!X58</f>
        <v>36460624.560000002</v>
      </c>
      <c r="K39" s="210">
        <f>IFERROR(J39/B39,1)</f>
        <v>1</v>
      </c>
      <c r="L39" s="209">
        <f>Pasākumu_līmenis!AE58</f>
        <v>36460624.530000001</v>
      </c>
      <c r="M39" s="211">
        <f>IFERROR(L39/B39,1)</f>
        <v>1</v>
      </c>
      <c r="N39" s="66"/>
      <c r="O39" s="66"/>
      <c r="P39" s="66"/>
      <c r="Q39" s="66"/>
      <c r="S39" s="66"/>
      <c r="T39" s="66"/>
      <c r="U39" s="66"/>
      <c r="V39" s="66"/>
      <c r="W39" s="66"/>
      <c r="Y39" s="66"/>
      <c r="Z39" s="66"/>
    </row>
    <row r="40" spans="1:26" s="67" customFormat="1" ht="20.25" x14ac:dyDescent="0.3">
      <c r="A40" s="82" t="s">
        <v>345</v>
      </c>
      <c r="B40" s="69">
        <f>SUM(B41:B44)</f>
        <v>1238174873</v>
      </c>
      <c r="C40" s="69">
        <f>SUM(C41:C44)</f>
        <v>74032183</v>
      </c>
      <c r="D40" s="69">
        <f t="shared" si="4"/>
        <v>1312207056</v>
      </c>
      <c r="E40" s="69">
        <f>SUM(E41:E44)</f>
        <v>67553262.617205307</v>
      </c>
      <c r="F40" s="69">
        <f>SUM(F41:F44)</f>
        <v>1173305660.48</v>
      </c>
      <c r="G40" s="212">
        <f>F40/B40</f>
        <v>0.94760900585647734</v>
      </c>
      <c r="H40" s="69">
        <f>SUM(H41:H44)</f>
        <v>1173305660.48</v>
      </c>
      <c r="I40" s="212">
        <f t="shared" si="1"/>
        <v>0.94760900585647734</v>
      </c>
      <c r="J40" s="69">
        <f>SUM(J41:J44)</f>
        <v>1173305660.48</v>
      </c>
      <c r="K40" s="212">
        <f t="shared" si="2"/>
        <v>0.94760900585647734</v>
      </c>
      <c r="L40" s="69">
        <f>SUM(L41:L44)</f>
        <v>1175676596.8400002</v>
      </c>
      <c r="M40" s="213">
        <f t="shared" si="5"/>
        <v>0.94952386975147418</v>
      </c>
      <c r="N40" s="65"/>
      <c r="O40" s="65"/>
      <c r="P40" s="65"/>
      <c r="Q40" s="65"/>
      <c r="S40" s="65"/>
      <c r="T40" s="65"/>
      <c r="U40" s="65"/>
      <c r="V40" s="65"/>
      <c r="W40" s="65"/>
      <c r="Y40" s="65"/>
      <c r="Z40" s="65"/>
    </row>
    <row r="41" spans="1:26" ht="18.75" x14ac:dyDescent="0.3">
      <c r="A41" s="76" t="s">
        <v>349</v>
      </c>
      <c r="B41" s="206">
        <f>Pasākumu_līmenis!F48+Pasākumu_līmenis!F52</f>
        <v>75331910</v>
      </c>
      <c r="C41" s="206">
        <f>Pasākumu_līmenis!G48+Pasākumu_līmenis!G52</f>
        <v>56550000</v>
      </c>
      <c r="D41" s="206">
        <f t="shared" si="4"/>
        <v>131881910</v>
      </c>
      <c r="E41" s="206">
        <f>Pasākumu_līmenis!I48+Pasākumu_līmenis!I52</f>
        <v>3290568</v>
      </c>
      <c r="F41" s="206">
        <f>Pasākumu_līmenis!J48+Pasākumu_līmenis!J52</f>
        <v>89777655.190000013</v>
      </c>
      <c r="G41" s="207">
        <f>F41/B41</f>
        <v>1.1917613026139919</v>
      </c>
      <c r="H41" s="206">
        <f>Pasākumu_līmenis!Q48+Pasākumu_līmenis!Q52</f>
        <v>89777655.190000013</v>
      </c>
      <c r="I41" s="207">
        <f t="shared" si="1"/>
        <v>1.1917613026139919</v>
      </c>
      <c r="J41" s="206">
        <f>Pasākumu_līmenis!X48+Pasākumu_līmenis!X52</f>
        <v>89777655.190000013</v>
      </c>
      <c r="K41" s="207">
        <f t="shared" si="2"/>
        <v>1.1917613026139919</v>
      </c>
      <c r="L41" s="206">
        <f>Pasākumu_līmenis!AE48+Pasākumu_līmenis!AE52</f>
        <v>91406484.440000013</v>
      </c>
      <c r="M41" s="208">
        <f t="shared" si="5"/>
        <v>1.213383338348915</v>
      </c>
      <c r="N41" s="66"/>
      <c r="O41" s="66"/>
      <c r="P41" s="66"/>
      <c r="Q41" s="66"/>
      <c r="S41" s="66"/>
      <c r="T41" s="66"/>
      <c r="U41" s="66"/>
      <c r="V41" s="66"/>
      <c r="W41" s="66"/>
      <c r="Y41" s="66"/>
      <c r="Z41" s="66"/>
    </row>
    <row r="42" spans="1:26" ht="18.75" x14ac:dyDescent="0.3">
      <c r="A42" s="76" t="s">
        <v>356</v>
      </c>
      <c r="B42" s="198">
        <f>Pasākumu_līmenis!F152</f>
        <v>40715710</v>
      </c>
      <c r="C42" s="198">
        <f>Pasākumu_līmenis!G152</f>
        <v>0</v>
      </c>
      <c r="D42" s="198">
        <f t="shared" si="4"/>
        <v>40715710</v>
      </c>
      <c r="E42" s="198">
        <f>Pasākumu_līmenis!I152</f>
        <v>0</v>
      </c>
      <c r="F42" s="198">
        <f>Pasākumu_līmenis!J152</f>
        <v>40697163.219999999</v>
      </c>
      <c r="G42" s="199">
        <f t="shared" si="0"/>
        <v>0.99954448098780546</v>
      </c>
      <c r="H42" s="198">
        <f>Pasākumu_līmenis!Q152</f>
        <v>40697163.219999999</v>
      </c>
      <c r="I42" s="199">
        <f t="shared" si="1"/>
        <v>0.99954448098780546</v>
      </c>
      <c r="J42" s="198">
        <f>Pasākumu_līmenis!X152</f>
        <v>40697163.219999999</v>
      </c>
      <c r="K42" s="199">
        <f t="shared" si="2"/>
        <v>0.99954448098780546</v>
      </c>
      <c r="L42" s="198">
        <f>Pasākumu_līmenis!AE152</f>
        <v>40697163.219999999</v>
      </c>
      <c r="M42" s="200">
        <f t="shared" si="5"/>
        <v>0.99954448098780546</v>
      </c>
      <c r="N42" s="66"/>
      <c r="O42" s="66"/>
      <c r="P42" s="66"/>
      <c r="Q42" s="66"/>
      <c r="S42" s="66"/>
      <c r="T42" s="66"/>
      <c r="U42" s="66"/>
      <c r="V42" s="66"/>
      <c r="W42" s="66"/>
      <c r="Y42" s="66"/>
      <c r="Z42" s="66"/>
    </row>
    <row r="43" spans="1:26" ht="18.75" x14ac:dyDescent="0.3">
      <c r="A43" s="76" t="s">
        <v>347</v>
      </c>
      <c r="B43" s="198">
        <f>Pasākumu_līmenis!F54+Pasākumu_līmenis!F55+Pasākumu_līmenis!F73+Pasākumu_līmenis!F74+Pasākumu_līmenis!F75+Pasākumu_līmenis!F76+Pasākumu_līmenis!F77+Pasākumu_līmenis!F78+Pasākumu_līmenis!F79+Pasākumu_līmenis!F83+Pasākumu_līmenis!F84+Pasākumu_līmenis!F80+Pasākumu_līmenis!F81+Pasākumu_līmenis!F82</f>
        <v>931263488</v>
      </c>
      <c r="C43" s="198">
        <f>Pasākumu_līmenis!G54+Pasākumu_līmenis!G55+Pasākumu_līmenis!G73+Pasākumu_līmenis!G74+Pasākumu_līmenis!G75+Pasākumu_līmenis!G76+Pasākumu_līmenis!G77+Pasākumu_līmenis!G78+Pasākumu_līmenis!G79+Pasākumu_līmenis!G83+Pasākumu_līmenis!G84+Pasākumu_līmenis!G80+Pasākumu_līmenis!G81+Pasākumu_līmenis!G82</f>
        <v>0</v>
      </c>
      <c r="D43" s="198">
        <f>B43+C43</f>
        <v>931263488</v>
      </c>
      <c r="E43" s="198">
        <f>Pasākumu_līmenis!I54+Pasākumu_līmenis!I55+Pasākumu_līmenis!I73+Pasākumu_līmenis!I74+Pasākumu_līmenis!I75+Pasākumu_līmenis!I76+Pasākumu_līmenis!I77+Pasākumu_līmenis!I78+Pasākumu_līmenis!I79+Pasākumu_līmenis!I83+Pasākumu_līmenis!I84</f>
        <v>61972965.617205307</v>
      </c>
      <c r="F43" s="198">
        <f>Pasākumu_līmenis!J54+Pasākumu_līmenis!J55+Pasākumu_līmenis!J73+Pasākumu_līmenis!J74+Pasākumu_līmenis!J75+Pasākumu_līmenis!J76+Pasākumu_līmenis!J77+Pasākumu_līmenis!J78+Pasākumu_līmenis!J79+Pasākumu_līmenis!J83+Pasākumu_līmenis!J84+Pasākumu_līmenis!J80+Pasākumu_līmenis!J81+Pasākumu_līmenis!J82</f>
        <v>837525817.95000017</v>
      </c>
      <c r="G43" s="199">
        <f t="shared" si="0"/>
        <v>0.89934355715876635</v>
      </c>
      <c r="H43" s="198">
        <f>Pasākumu_līmenis!Q54+Pasākumu_līmenis!Q55+Pasākumu_līmenis!Q73+Pasākumu_līmenis!Q74+Pasākumu_līmenis!Q75+Pasākumu_līmenis!Q76+Pasākumu_līmenis!Q77+Pasākumu_līmenis!Q78+Pasākumu_līmenis!Q79+Pasākumu_līmenis!Q83+Pasākumu_līmenis!Q84+Pasākumu_līmenis!Q80+Pasākumu_līmenis!Q81+Pasākumu_līmenis!Q82</f>
        <v>837525817.95000017</v>
      </c>
      <c r="I43" s="199">
        <f t="shared" si="1"/>
        <v>0.89934355715876635</v>
      </c>
      <c r="J43" s="198">
        <f>Pasākumu_līmenis!X54+Pasākumu_līmenis!X55+Pasākumu_līmenis!X73+Pasākumu_līmenis!X74+Pasākumu_līmenis!X75+Pasākumu_līmenis!X76+Pasākumu_līmenis!X77+Pasākumu_līmenis!X78+Pasākumu_līmenis!X79+Pasākumu_līmenis!X83+Pasākumu_līmenis!X84+Pasākumu_līmenis!X80+Pasākumu_līmenis!X81+Pasākumu_līmenis!X82</f>
        <v>837525817.95000017</v>
      </c>
      <c r="K43" s="199">
        <f t="shared" si="2"/>
        <v>0.89934355715876635</v>
      </c>
      <c r="L43" s="198">
        <f>Pasākumu_līmenis!AE54+Pasākumu_līmenis!AE55+Pasākumu_līmenis!AE73+Pasākumu_līmenis!AE74+Pasākumu_līmenis!AE75+Pasākumu_līmenis!AE76+Pasākumu_līmenis!AE77+Pasākumu_līmenis!AE78+Pasākumu_līmenis!AE79+Pasākumu_līmenis!AE83+Pasākumu_līmenis!AE84+Pasākumu_līmenis!AE80+Pasākumu_līmenis!AE81+Pasākumu_līmenis!AE82</f>
        <v>838565948.04000008</v>
      </c>
      <c r="M43" s="200">
        <f t="shared" si="5"/>
        <v>0.90046045919927664</v>
      </c>
      <c r="N43" s="66"/>
      <c r="O43" s="66"/>
      <c r="P43" s="66"/>
      <c r="Q43" s="66"/>
      <c r="S43" s="66"/>
      <c r="T43" s="66"/>
      <c r="U43" s="66"/>
      <c r="V43" s="66"/>
      <c r="W43" s="66"/>
      <c r="Y43" s="66"/>
      <c r="Z43" s="66"/>
    </row>
    <row r="44" spans="1:26" ht="18.75" x14ac:dyDescent="0.3">
      <c r="A44" s="76" t="s">
        <v>350</v>
      </c>
      <c r="B44" s="209">
        <f>Pasākumu_līmenis!F59+Pasākumu_līmenis!F60+Pasākumu_līmenis!F62+Pasākumu_līmenis!F64+Pasākumu_līmenis!F65+Pasākumu_līmenis!F61+Pasākumu_līmenis!F66+Pasākumu_līmenis!F67</f>
        <v>190863765</v>
      </c>
      <c r="C44" s="209">
        <f>Pasākumu_līmenis!G59+Pasākumu_līmenis!G60+Pasākumu_līmenis!G62+Pasākumu_līmenis!G64+Pasākumu_līmenis!G65+Pasākumu_līmenis!G61+Pasākumu_līmenis!G66+Pasākumu_līmenis!G67</f>
        <v>17482183</v>
      </c>
      <c r="D44" s="209">
        <f>Pasākumu_līmenis!H59+Pasākumu_līmenis!H60+Pasākumu_līmenis!H62+Pasākumu_līmenis!H64+Pasākumu_līmenis!H65+Pasākumu_līmenis!H61+Pasākumu_līmenis!H66+Pasākumu_līmenis!H67</f>
        <v>208345948</v>
      </c>
      <c r="E44" s="209">
        <f>Pasākumu_līmenis!I59+Pasākumu_līmenis!I60+Pasākumu_līmenis!I62+Pasākumu_līmenis!I64+Pasākumu_līmenis!I65++Pasākumu_līmenis!I61+Pasākumu_līmenis!I66</f>
        <v>2289729</v>
      </c>
      <c r="F44" s="209">
        <f>Pasākumu_līmenis!J59+Pasākumu_līmenis!J60+Pasākumu_līmenis!J62+Pasākumu_līmenis!J64+Pasākumu_līmenis!J65+Pasākumu_līmenis!J61+Pasākumu_līmenis!J66+Pasākumu_līmenis!J67</f>
        <v>205305024.12</v>
      </c>
      <c r="G44" s="210">
        <f t="shared" si="0"/>
        <v>1.0756626545641075</v>
      </c>
      <c r="H44" s="209">
        <f>Pasākumu_līmenis!Q59+Pasākumu_līmenis!Q60+Pasākumu_līmenis!Q62+Pasākumu_līmenis!Q64+Pasākumu_līmenis!Q65+Pasākumu_līmenis!Q66+Pasākumu_līmenis!Q61+Pasākumu_līmenis!Q67</f>
        <v>205305024.12</v>
      </c>
      <c r="I44" s="210">
        <f t="shared" si="1"/>
        <v>1.0756626545641075</v>
      </c>
      <c r="J44" s="209">
        <f>Pasākumu_līmenis!X59+Pasākumu_līmenis!X60+Pasākumu_līmenis!X62+Pasākumu_līmenis!X64+Pasākumu_līmenis!X65+Pasākumu_līmenis!X66+Pasākumu_līmenis!X61+Pasākumu_līmenis!X67</f>
        <v>205305024.12</v>
      </c>
      <c r="K44" s="210">
        <f t="shared" si="2"/>
        <v>1.0756626545641075</v>
      </c>
      <c r="L44" s="209">
        <f>Pasākumu_līmenis!AE59+Pasākumu_līmenis!AE60+Pasākumu_līmenis!AE62+Pasākumu_līmenis!AE64+Pasākumu_līmenis!AE65+Pasākumu_līmenis!AE66+Pasākumu_līmenis!AE61+Pasākumu_līmenis!AE67</f>
        <v>205007001.14000002</v>
      </c>
      <c r="M44" s="211">
        <f t="shared" si="5"/>
        <v>1.0741012110915868</v>
      </c>
      <c r="N44" s="66"/>
      <c r="O44" s="66"/>
      <c r="P44" s="66"/>
      <c r="Q44" s="66"/>
      <c r="S44" s="66"/>
      <c r="T44" s="66"/>
      <c r="U44" s="66"/>
      <c r="V44" s="66"/>
      <c r="W44" s="66"/>
      <c r="Y44" s="66"/>
      <c r="Z44" s="66"/>
    </row>
    <row r="45" spans="1:26" ht="20.25" x14ac:dyDescent="0.3">
      <c r="A45" s="82" t="s">
        <v>1380</v>
      </c>
      <c r="B45" s="69">
        <f>SUM(B46:B50)</f>
        <v>197429858</v>
      </c>
      <c r="C45" s="69">
        <f>SUM(C46:C50)</f>
        <v>1</v>
      </c>
      <c r="D45" s="69">
        <f>SUM(D46:D50)</f>
        <v>197429859</v>
      </c>
      <c r="E45" s="69">
        <f t="shared" ref="E45" si="6">E49</f>
        <v>0</v>
      </c>
      <c r="F45" s="69">
        <f>SUM(F46:F50)</f>
        <v>112531132.47999999</v>
      </c>
      <c r="G45" s="212">
        <f>F45/B45</f>
        <v>0.56998031412249706</v>
      </c>
      <c r="H45" s="69">
        <f>SUM(H46:H50)</f>
        <v>172648849.44999999</v>
      </c>
      <c r="I45" s="212">
        <f>H45/B45</f>
        <v>0.87448196133535172</v>
      </c>
      <c r="J45" s="69">
        <f>SUM(J46:J50)</f>
        <v>172648849.44999999</v>
      </c>
      <c r="K45" s="212">
        <f>J45/B45</f>
        <v>0.87448196133535172</v>
      </c>
      <c r="L45" s="69">
        <f>SUM(L46:L50)</f>
        <v>170369875.22</v>
      </c>
      <c r="M45" s="213">
        <f>L45/B45</f>
        <v>0.86293875174645573</v>
      </c>
      <c r="N45" s="66"/>
      <c r="O45" s="66"/>
      <c r="P45" s="66"/>
      <c r="Q45" s="66"/>
      <c r="R45" s="64"/>
      <c r="S45" s="66"/>
      <c r="T45" s="66"/>
      <c r="U45" s="66"/>
      <c r="V45" s="66"/>
      <c r="W45" s="66"/>
      <c r="Y45" s="66"/>
      <c r="Z45" s="66"/>
    </row>
    <row r="46" spans="1:26" ht="18.75" x14ac:dyDescent="0.3">
      <c r="A46" s="408" t="s">
        <v>349</v>
      </c>
      <c r="B46" s="323">
        <f>Pasākumu_līmenis!F155+Pasākumu_līmenis!F154+Pasākumu_līmenis!F165+Pasākumu_līmenis!F156+Pasākumu_līmenis!F157</f>
        <v>67136989</v>
      </c>
      <c r="C46" s="429">
        <f>Pasākumu_līmenis!G155+Pasākumu_līmenis!G154+Pasākumu_līmenis!G165+Pasākumu_līmenis!G156+Pasākumu_līmenis!G157</f>
        <v>1</v>
      </c>
      <c r="D46" s="206">
        <f>B46+C46</f>
        <v>67136990</v>
      </c>
      <c r="E46" s="206"/>
      <c r="F46" s="206">
        <f>Pasākumu_līmenis!J155+Pasākumu_līmenis!J154+Pasākumu_līmenis!J165+Pasākumu_līmenis!J156+Pasākumu_līmenis!J157</f>
        <v>58243962.269999996</v>
      </c>
      <c r="G46" s="207">
        <f>IFERROR(B46/F46,0)</f>
        <v>1.1526858129736235</v>
      </c>
      <c r="H46" s="206">
        <f>Pasākumu_līmenis!Q155+Pasākumu_līmenis!Q154+Pasākumu_līmenis!Q165+Pasākumu_līmenis!Q156+Pasākumu_līmenis!Q157</f>
        <v>58243962.269999996</v>
      </c>
      <c r="I46" s="207">
        <f>IFERROR(B46/H46,0)</f>
        <v>1.1526858129736235</v>
      </c>
      <c r="J46" s="206">
        <f>Pasākumu_līmenis!X155+Pasākumu_līmenis!X154+Pasākumu_līmenis!X165+Pasākumu_līmenis!X156+Pasākumu_līmenis!X157</f>
        <v>58243962.269999996</v>
      </c>
      <c r="K46" s="207">
        <f>IFERROR(B46/J46,0)</f>
        <v>1.1526858129736235</v>
      </c>
      <c r="L46" s="206">
        <f>Pasākumu_līmenis!AE155+Pasākumu_līmenis!AE154+Pasākumu_līmenis!AE165+Pasākumu_līmenis!AE156+Pasākumu_līmenis!AE157</f>
        <v>59245389.980000004</v>
      </c>
      <c r="M46" s="208">
        <f>IFERROR(B46/L46,0)</f>
        <v>1.1332019085816472</v>
      </c>
      <c r="N46" s="66"/>
      <c r="O46" s="66"/>
      <c r="P46" s="66"/>
      <c r="Q46" s="66"/>
      <c r="S46" s="66"/>
      <c r="T46" s="66"/>
      <c r="U46" s="66"/>
      <c r="V46" s="66"/>
      <c r="W46" s="66"/>
      <c r="Y46" s="66"/>
      <c r="Z46" s="66"/>
    </row>
    <row r="47" spans="1:26" ht="18.75" x14ac:dyDescent="0.3">
      <c r="A47" s="408" t="s">
        <v>348</v>
      </c>
      <c r="B47" s="436">
        <f>Pasākumu_līmenis!F160+Pasākumu_līmenis!F158</f>
        <v>15636883</v>
      </c>
      <c r="C47" s="436">
        <f>Pasākumu_līmenis!G160+Pasākumu_līmenis!G158</f>
        <v>0</v>
      </c>
      <c r="D47" s="214">
        <f>B47+C47</f>
        <v>15636883</v>
      </c>
      <c r="E47" s="436">
        <f>Pasākumu_līmenis!I159+Pasākumu_līmenis!I160</f>
        <v>0</v>
      </c>
      <c r="F47" s="436">
        <f>Pasākumu_līmenis!J160+Pasākumu_līmenis!J158</f>
        <v>15561062.92</v>
      </c>
      <c r="G47" s="215">
        <f>IFERROR(B47/F47,0)</f>
        <v>1.0048724229437149</v>
      </c>
      <c r="H47" s="436">
        <f>Pasākumu_līmenis!Q160+Pasākumu_līmenis!Q158</f>
        <v>15561062.92</v>
      </c>
      <c r="I47" s="215">
        <f>IFERROR(B47/H47,0)</f>
        <v>1.0048724229437149</v>
      </c>
      <c r="J47" s="436">
        <f>Pasākumu_līmenis!X160+Pasākumu_līmenis!X158</f>
        <v>15561062.92</v>
      </c>
      <c r="K47" s="215">
        <f>IFERROR(B47/J47,0)</f>
        <v>1.0048724229437149</v>
      </c>
      <c r="L47" s="436">
        <f>Pasākumu_līmenis!AE160+Pasākumu_līmenis!AE158</f>
        <v>15561062.92</v>
      </c>
      <c r="M47" s="216">
        <f>IFERROR(B47/L47,0)</f>
        <v>1.0048724229437149</v>
      </c>
      <c r="N47" s="66"/>
      <c r="O47" s="66"/>
      <c r="P47" s="66"/>
      <c r="Q47" s="66"/>
      <c r="S47" s="66"/>
      <c r="T47" s="66"/>
      <c r="U47" s="66"/>
      <c r="V47" s="66"/>
      <c r="W47" s="66"/>
      <c r="Y47" s="66"/>
      <c r="Z47" s="66"/>
    </row>
    <row r="48" spans="1:26" ht="18.75" x14ac:dyDescent="0.3">
      <c r="A48" s="408" t="s">
        <v>355</v>
      </c>
      <c r="B48" s="323">
        <f>Pasākumu_līmenis!F163</f>
        <v>10108455</v>
      </c>
      <c r="C48" s="323">
        <f>Pasākumu_līmenis!G163</f>
        <v>0</v>
      </c>
      <c r="D48" s="323">
        <f>B48+C48</f>
        <v>10108455</v>
      </c>
      <c r="E48" s="323"/>
      <c r="F48" s="323">
        <f>Pasākumu_līmenis!J163</f>
        <v>9741588.3200000003</v>
      </c>
      <c r="G48" s="438">
        <f>IFERROR(B48/F48,0)</f>
        <v>1.0376598423120389</v>
      </c>
      <c r="H48" s="323">
        <f>Pasākumu_līmenis!Q163</f>
        <v>9741588.3200000003</v>
      </c>
      <c r="I48" s="438">
        <f>IFERROR(B48/H48,0)</f>
        <v>1.0376598423120389</v>
      </c>
      <c r="J48" s="323">
        <f>Pasākumu_līmenis!X163</f>
        <v>9741588.3200000003</v>
      </c>
      <c r="K48" s="438">
        <f>IFERROR(B48/J48,0)</f>
        <v>1.0376598423120389</v>
      </c>
      <c r="L48" s="323">
        <f>Pasākumu_līmenis!AE163</f>
        <v>9741588.3200000003</v>
      </c>
      <c r="M48" s="438">
        <f>IFERROR(B48/L48,0)</f>
        <v>1.0376598423120389</v>
      </c>
      <c r="N48" s="66"/>
      <c r="O48" s="66"/>
      <c r="P48" s="66"/>
      <c r="Q48" s="66"/>
      <c r="S48" s="66"/>
      <c r="T48" s="66"/>
      <c r="U48" s="66"/>
      <c r="V48" s="66"/>
      <c r="W48" s="66"/>
      <c r="Y48" s="66"/>
      <c r="Z48" s="66"/>
    </row>
    <row r="49" spans="1:27" ht="18.75" x14ac:dyDescent="0.3">
      <c r="A49" s="408" t="s">
        <v>350</v>
      </c>
      <c r="B49" s="323">
        <f>Pasākumu_līmenis!F161+Pasākumu_līmenis!F162</f>
        <v>52973746</v>
      </c>
      <c r="C49" s="323">
        <f>Pasākumu_līmenis!G161+Pasākumu_līmenis!G162</f>
        <v>0</v>
      </c>
      <c r="D49" s="323">
        <f>B49+C49</f>
        <v>52973746</v>
      </c>
      <c r="E49" s="323"/>
      <c r="F49" s="323">
        <f>Pasākumu_līmenis!J161+Pasākumu_līmenis!JJ162</f>
        <v>24725187.969999999</v>
      </c>
      <c r="G49" s="438">
        <f>IFERROR(B49/F49,0)</f>
        <v>2.1425012446528227</v>
      </c>
      <c r="H49" s="323">
        <f>Pasākumu_līmenis!Q161+Pasākumu_līmenis!Q162</f>
        <v>39423475.439999998</v>
      </c>
      <c r="I49" s="438">
        <f>IFERROR(B49/H49,0)</f>
        <v>1.3437107055825823</v>
      </c>
      <c r="J49" s="323">
        <f>Pasākumu_līmenis!X161+Pasākumu_līmenis!X162</f>
        <v>39423475.439999998</v>
      </c>
      <c r="K49" s="438">
        <f>IFERROR(B49/J49,0)</f>
        <v>1.3437107055825823</v>
      </c>
      <c r="L49" s="323">
        <f>Pasākumu_līmenis!AE161+Pasākumu_līmenis!AE162</f>
        <v>39421982.5</v>
      </c>
      <c r="M49" s="438">
        <f>IFERROR(B49/L49,0)</f>
        <v>1.343761592913294</v>
      </c>
      <c r="N49" s="66"/>
      <c r="O49" s="66"/>
      <c r="P49" s="66"/>
      <c r="Q49" s="66"/>
      <c r="S49" s="66"/>
      <c r="T49" s="66"/>
      <c r="U49" s="66"/>
      <c r="V49" s="66"/>
      <c r="W49" s="66"/>
      <c r="Y49" s="66"/>
      <c r="Z49" s="66"/>
    </row>
    <row r="50" spans="1:27" ht="18.75" x14ac:dyDescent="0.3">
      <c r="A50" s="408" t="s">
        <v>352</v>
      </c>
      <c r="B50" s="437">
        <f>Pasākumu_līmenis!F164</f>
        <v>51573785</v>
      </c>
      <c r="C50" s="57">
        <f>Pasākumu_līmenis!G164</f>
        <v>0</v>
      </c>
      <c r="D50" s="206">
        <f>B50+C50</f>
        <v>51573785</v>
      </c>
      <c r="E50" s="57"/>
      <c r="F50" s="57">
        <f>Pasākumu_līmenis!J170</f>
        <v>4259331</v>
      </c>
      <c r="G50" s="207">
        <f>IFERROR(B50/F50,0)</f>
        <v>12.108423834635063</v>
      </c>
      <c r="H50" s="57">
        <f>Pasākumu_līmenis!Q164</f>
        <v>49678760.5</v>
      </c>
      <c r="I50" s="207">
        <f>IFERROR(B50/H50,0)</f>
        <v>1.0381455672590705</v>
      </c>
      <c r="J50" s="57">
        <f>Pasākumu_līmenis!X164</f>
        <v>49678760.5</v>
      </c>
      <c r="K50" s="207">
        <f>IFERROR(B50/J50,0)</f>
        <v>1.0381455672590705</v>
      </c>
      <c r="L50" s="57">
        <f>Pasākumu_līmenis!AE164</f>
        <v>46399851.5</v>
      </c>
      <c r="M50" s="208">
        <f>IFERROR(B50/L50,0)</f>
        <v>1.1115075443722056</v>
      </c>
      <c r="N50" s="66"/>
      <c r="O50" s="66"/>
      <c r="P50" s="66"/>
      <c r="Q50" s="66"/>
      <c r="S50" s="66"/>
      <c r="T50" s="66"/>
      <c r="U50" s="66"/>
      <c r="V50" s="66"/>
      <c r="W50" s="66"/>
      <c r="Y50" s="66"/>
      <c r="Z50" s="66"/>
    </row>
    <row r="51" spans="1:27" ht="20.25" x14ac:dyDescent="0.3">
      <c r="A51" s="82" t="s">
        <v>1527</v>
      </c>
      <c r="B51" s="69">
        <f>SUM(B52:B54)</f>
        <v>22489087</v>
      </c>
      <c r="C51" s="69">
        <f t="shared" ref="C51:F51" si="7">SUM(C52:C54)</f>
        <v>0</v>
      </c>
      <c r="D51" s="69">
        <f t="shared" si="7"/>
        <v>22489087</v>
      </c>
      <c r="E51" s="69">
        <f t="shared" si="7"/>
        <v>0</v>
      </c>
      <c r="F51" s="69">
        <f t="shared" si="7"/>
        <v>21467834.219999999</v>
      </c>
      <c r="G51" s="212">
        <f>F51/B51</f>
        <v>0.95458896219308498</v>
      </c>
      <c r="H51" s="69">
        <f>SUM(H52:H54)</f>
        <v>21467834.219999999</v>
      </c>
      <c r="I51" s="212">
        <f>H51/B51</f>
        <v>0.95458896219308498</v>
      </c>
      <c r="J51" s="69">
        <f>SUM(J52:J54)</f>
        <v>21467834.219999999</v>
      </c>
      <c r="K51" s="212">
        <f>J51/B51</f>
        <v>0.95458896219308498</v>
      </c>
      <c r="L51" s="69">
        <f>SUM(L52:L54)</f>
        <v>21128869.52</v>
      </c>
      <c r="M51" s="213">
        <f>L51/B51</f>
        <v>0.93951655396237288</v>
      </c>
      <c r="N51" s="66"/>
      <c r="O51" s="66"/>
      <c r="P51" s="66"/>
      <c r="Q51" s="66"/>
      <c r="S51" s="66"/>
      <c r="T51" s="66"/>
      <c r="U51" s="66"/>
      <c r="V51" s="66"/>
      <c r="W51" s="66"/>
      <c r="Y51" s="66"/>
      <c r="Z51" s="66"/>
    </row>
    <row r="52" spans="1:27" ht="18.75" x14ac:dyDescent="0.3">
      <c r="A52" s="76" t="s">
        <v>348</v>
      </c>
      <c r="B52" s="206">
        <f>Pasākumu_līmenis!F167+Pasākumu_līmenis!F168</f>
        <v>6701906</v>
      </c>
      <c r="C52" s="206">
        <f>Pasākumu_līmenis!G167+Pasākumu_līmenis!G168</f>
        <v>0</v>
      </c>
      <c r="D52" s="206">
        <f>B52+C52</f>
        <v>6701906</v>
      </c>
      <c r="E52" s="206"/>
      <c r="F52" s="206">
        <f>Pasākumu_līmenis!J167+Pasākumu_līmenis!J168</f>
        <v>5937662.7299999995</v>
      </c>
      <c r="G52" s="207">
        <f>F52/B52</f>
        <v>0.88596628033875724</v>
      </c>
      <c r="H52" s="206">
        <f>Pasākumu_līmenis!Q167+Pasākumu_līmenis!Q168</f>
        <v>5937662.7299999995</v>
      </c>
      <c r="I52" s="207">
        <f>H52/B52</f>
        <v>0.88596628033875724</v>
      </c>
      <c r="J52" s="206">
        <f>Pasākumu_līmenis!X167+Pasākumu_līmenis!X168</f>
        <v>5937662.7299999995</v>
      </c>
      <c r="K52" s="207">
        <f>J52/B52</f>
        <v>0.88596628033875724</v>
      </c>
      <c r="L52" s="206">
        <f>Pasākumu_līmenis!AE167+Pasākumu_līmenis!AE168</f>
        <v>5598698.0299999993</v>
      </c>
      <c r="M52" s="208">
        <f>L52/B52</f>
        <v>0.83538892219616323</v>
      </c>
      <c r="N52" s="66"/>
      <c r="O52" s="66"/>
      <c r="P52" s="66"/>
      <c r="Q52" s="66"/>
      <c r="S52" s="66"/>
      <c r="T52" s="66"/>
      <c r="U52" s="66"/>
      <c r="V52" s="66"/>
      <c r="W52" s="66"/>
      <c r="Y52" s="66"/>
      <c r="Z52" s="66"/>
    </row>
    <row r="53" spans="1:27" ht="18.75" x14ac:dyDescent="0.3">
      <c r="A53" s="76" t="s">
        <v>351</v>
      </c>
      <c r="B53" s="206">
        <f>Pasākumu_līmenis!F169</f>
        <v>11527850</v>
      </c>
      <c r="C53" s="206">
        <f>Pasākumu_līmenis!G169</f>
        <v>0</v>
      </c>
      <c r="D53" s="206">
        <f>B53+C53</f>
        <v>11527850</v>
      </c>
      <c r="E53" s="206"/>
      <c r="F53" s="206">
        <f>Pasākumu_līmenis!J169</f>
        <v>11270840.49</v>
      </c>
      <c r="G53" s="207">
        <f>F53/B53</f>
        <v>0.97770533880992549</v>
      </c>
      <c r="H53" s="206">
        <f>Pasākumu_līmenis!Q169</f>
        <v>11270840.49</v>
      </c>
      <c r="I53" s="207">
        <f>H53/B53</f>
        <v>0.97770533880992549</v>
      </c>
      <c r="J53" s="206">
        <f>Pasākumu_līmenis!X169</f>
        <v>11270840.49</v>
      </c>
      <c r="K53" s="207">
        <f>J53/B53</f>
        <v>0.97770533880992549</v>
      </c>
      <c r="L53" s="206">
        <f>Pasākumu_līmenis!AE169</f>
        <v>11270840.49</v>
      </c>
      <c r="M53" s="208">
        <f>L53/B53</f>
        <v>0.97770533880992549</v>
      </c>
      <c r="N53" s="66"/>
      <c r="O53" s="66"/>
      <c r="P53" s="66"/>
      <c r="Q53" s="66"/>
      <c r="S53" s="66"/>
      <c r="T53" s="66"/>
      <c r="U53" s="66"/>
      <c r="V53" s="66"/>
      <c r="W53" s="66"/>
      <c r="Y53" s="66"/>
      <c r="Z53" s="66"/>
    </row>
    <row r="54" spans="1:27" ht="19.5" thickBot="1" x14ac:dyDescent="0.35">
      <c r="A54" s="76" t="s">
        <v>352</v>
      </c>
      <c r="B54" s="206">
        <f>Pasākumu_līmenis!F170</f>
        <v>4259331</v>
      </c>
      <c r="C54" s="206">
        <f>Pasākumu_līmenis!G170</f>
        <v>0</v>
      </c>
      <c r="D54" s="206">
        <f>B54+C54</f>
        <v>4259331</v>
      </c>
      <c r="E54" s="206"/>
      <c r="F54" s="206">
        <f>Pasākumu_līmenis!J170</f>
        <v>4259331</v>
      </c>
      <c r="G54" s="207">
        <f>F54/B54</f>
        <v>1</v>
      </c>
      <c r="H54" s="206">
        <f>Pasākumu_līmenis!Q170</f>
        <v>4259331</v>
      </c>
      <c r="I54" s="207">
        <f>H54/B54</f>
        <v>1</v>
      </c>
      <c r="J54" s="206">
        <f>Pasākumu_līmenis!X170</f>
        <v>4259331</v>
      </c>
      <c r="K54" s="207">
        <f>J54/B54</f>
        <v>1</v>
      </c>
      <c r="L54" s="206">
        <f>Pasākumu_līmenis!AE170</f>
        <v>4259331</v>
      </c>
      <c r="M54" s="208">
        <f>L54/B54</f>
        <v>1</v>
      </c>
      <c r="N54" s="66"/>
      <c r="O54" s="66"/>
      <c r="P54" s="66"/>
      <c r="Q54" s="66"/>
      <c r="S54" s="66"/>
      <c r="T54" s="66"/>
      <c r="U54" s="66"/>
      <c r="V54" s="66"/>
      <c r="W54" s="66"/>
      <c r="Y54" s="66"/>
      <c r="Z54" s="66"/>
    </row>
    <row r="55" spans="1:27" ht="5.25" customHeight="1" thickBot="1" x14ac:dyDescent="0.35">
      <c r="A55" s="87"/>
      <c r="B55" s="88"/>
      <c r="C55" s="88"/>
      <c r="D55" s="88"/>
      <c r="E55" s="88"/>
      <c r="F55" s="88"/>
      <c r="G55" s="88"/>
      <c r="H55" s="88"/>
      <c r="I55" s="88"/>
      <c r="J55" s="88"/>
      <c r="K55" s="88"/>
      <c r="L55" s="88"/>
      <c r="M55" s="89"/>
      <c r="O55" s="64"/>
      <c r="P55" s="64"/>
      <c r="Q55" s="64"/>
      <c r="R55" s="64"/>
      <c r="S55" s="64"/>
      <c r="U55" s="64"/>
      <c r="V55" s="64"/>
      <c r="W55" s="64"/>
      <c r="X55" s="64"/>
      <c r="Y55" s="64"/>
      <c r="Z55" s="64"/>
      <c r="AA55" s="64"/>
    </row>
    <row r="56" spans="1:27" s="67" customFormat="1" ht="41.25" thickBot="1" x14ac:dyDescent="0.35">
      <c r="A56" s="288" t="s">
        <v>1281</v>
      </c>
      <c r="B56" s="289">
        <f>Fin_progress!H235</f>
        <v>9238922</v>
      </c>
      <c r="C56" s="290">
        <f>Fin_progress!I235</f>
        <v>-7399760</v>
      </c>
      <c r="D56" s="290">
        <f>Fin_progress!J235</f>
        <v>1839162</v>
      </c>
      <c r="E56" s="290" t="s">
        <v>1282</v>
      </c>
      <c r="F56" s="290" t="s">
        <v>1282</v>
      </c>
      <c r="G56" s="291" t="s">
        <v>1282</v>
      </c>
      <c r="H56" s="290" t="s">
        <v>1282</v>
      </c>
      <c r="I56" s="291" t="s">
        <v>1282</v>
      </c>
      <c r="J56" s="290" t="s">
        <v>1282</v>
      </c>
      <c r="K56" s="291" t="s">
        <v>1282</v>
      </c>
      <c r="L56" s="290" t="s">
        <v>1282</v>
      </c>
      <c r="M56" s="292" t="s">
        <v>1282</v>
      </c>
      <c r="N56" s="65"/>
      <c r="O56" s="65"/>
      <c r="P56" s="65"/>
      <c r="Q56" s="65"/>
      <c r="S56" s="65"/>
      <c r="T56" s="65"/>
      <c r="U56" s="65"/>
      <c r="V56" s="65"/>
      <c r="W56" s="65"/>
      <c r="Y56" s="65"/>
      <c r="Z56" s="65"/>
    </row>
    <row r="57" spans="1:27" ht="4.5" customHeight="1" thickBot="1" x14ac:dyDescent="0.35">
      <c r="A57" s="516"/>
      <c r="B57" s="517"/>
      <c r="C57" s="517"/>
      <c r="D57" s="517"/>
      <c r="E57" s="517"/>
      <c r="F57" s="517"/>
      <c r="G57" s="517"/>
      <c r="H57" s="517"/>
      <c r="I57" s="517"/>
      <c r="J57" s="517"/>
      <c r="K57" s="517"/>
      <c r="L57" s="517"/>
      <c r="M57" s="518"/>
    </row>
    <row r="58" spans="1:27" ht="60.75" x14ac:dyDescent="0.3">
      <c r="A58" s="361" t="s">
        <v>1350</v>
      </c>
      <c r="B58" s="362">
        <f>Pasākumu_līmenis!F179</f>
        <v>2524642</v>
      </c>
      <c r="C58" s="364">
        <f>Pasākumu_līmenis!G179</f>
        <v>0</v>
      </c>
      <c r="D58" s="364">
        <f>B58+C58</f>
        <v>2524642</v>
      </c>
      <c r="E58" s="363"/>
      <c r="F58" s="365" t="s">
        <v>1282</v>
      </c>
      <c r="G58" s="365" t="s">
        <v>1282</v>
      </c>
      <c r="H58" s="365" t="s">
        <v>1282</v>
      </c>
      <c r="I58" s="365" t="s">
        <v>1282</v>
      </c>
      <c r="J58" s="365" t="s">
        <v>1282</v>
      </c>
      <c r="K58" s="365" t="s">
        <v>1282</v>
      </c>
      <c r="L58" s="365" t="s">
        <v>1282</v>
      </c>
      <c r="M58" s="366" t="s">
        <v>1282</v>
      </c>
    </row>
    <row r="59" spans="1:27" ht="61.5" thickBot="1" x14ac:dyDescent="0.35">
      <c r="A59" s="367" t="s">
        <v>1351</v>
      </c>
      <c r="B59" s="368">
        <f>Pasākumu_līmenis!F180</f>
        <v>0</v>
      </c>
      <c r="C59" s="370">
        <f>Pasākumu_līmenis!G180</f>
        <v>0</v>
      </c>
      <c r="D59" s="370">
        <f>B59+C59</f>
        <v>0</v>
      </c>
      <c r="E59" s="369"/>
      <c r="F59" s="371" t="s">
        <v>1282</v>
      </c>
      <c r="G59" s="371" t="s">
        <v>1282</v>
      </c>
      <c r="H59" s="371" t="s">
        <v>1282</v>
      </c>
      <c r="I59" s="371" t="s">
        <v>1282</v>
      </c>
      <c r="J59" s="371" t="s">
        <v>1282</v>
      </c>
      <c r="K59" s="371" t="s">
        <v>1282</v>
      </c>
      <c r="L59" s="371" t="s">
        <v>1282</v>
      </c>
      <c r="M59" s="372" t="s">
        <v>1282</v>
      </c>
    </row>
    <row r="62" spans="1:27" ht="15.75" x14ac:dyDescent="0.25">
      <c r="A62" s="504"/>
      <c r="B62" s="527" t="s">
        <v>1297</v>
      </c>
      <c r="C62" s="527"/>
      <c r="D62" s="527"/>
      <c r="E62" s="409"/>
      <c r="F62" s="530" t="s">
        <v>1298</v>
      </c>
      <c r="G62" s="531"/>
      <c r="H62" s="532"/>
      <c r="I62" s="528" t="s">
        <v>1299</v>
      </c>
    </row>
    <row r="63" spans="1:27" ht="15.75" x14ac:dyDescent="0.25">
      <c r="A63" s="505"/>
      <c r="B63" s="409" t="s">
        <v>1300</v>
      </c>
      <c r="C63" s="409" t="s">
        <v>1301</v>
      </c>
      <c r="D63" s="409" t="s">
        <v>402</v>
      </c>
      <c r="E63" s="409"/>
      <c r="F63" s="410" t="s">
        <v>1300</v>
      </c>
      <c r="G63" s="410" t="s">
        <v>1301</v>
      </c>
      <c r="H63" s="410" t="s">
        <v>402</v>
      </c>
      <c r="I63" s="528"/>
    </row>
    <row r="64" spans="1:27" ht="15.75" x14ac:dyDescent="0.25">
      <c r="A64" s="506"/>
      <c r="B64" s="411">
        <f>SUM(B65:B75)</f>
        <v>4408994280</v>
      </c>
      <c r="C64" s="411">
        <f t="shared" ref="C64:D64" si="8">SUM(C65:C75)</f>
        <v>224193689</v>
      </c>
      <c r="D64" s="411">
        <f t="shared" si="8"/>
        <v>4633187968</v>
      </c>
      <c r="E64" s="411"/>
      <c r="F64" s="411">
        <f>SUM(F65:F75)</f>
        <v>9238922</v>
      </c>
      <c r="G64" s="411">
        <f>SUM(G65:G75)</f>
        <v>-7399760</v>
      </c>
      <c r="H64" s="411">
        <f>G64+F64</f>
        <v>1839162</v>
      </c>
      <c r="I64" s="411">
        <f>B64+F64</f>
        <v>4418233202</v>
      </c>
    </row>
    <row r="65" spans="1:9" ht="15.75" x14ac:dyDescent="0.25">
      <c r="A65" s="412" t="s">
        <v>349</v>
      </c>
      <c r="B65" s="311">
        <f>B9-B80</f>
        <v>766927359</v>
      </c>
      <c r="C65" s="311">
        <f t="shared" ref="B65:D75" si="9">C9</f>
        <v>116550001</v>
      </c>
      <c r="D65" s="311">
        <f>D9-D80</f>
        <v>883477359</v>
      </c>
      <c r="E65" s="311"/>
      <c r="F65" s="311">
        <f>Pasākumu_līmenis!F192</f>
        <v>7399760</v>
      </c>
      <c r="G65" s="311">
        <f>Pasākumu_līmenis!G192</f>
        <v>-7399760</v>
      </c>
      <c r="H65" s="311">
        <f t="shared" ref="H65:H75" si="10">G65+F65</f>
        <v>0</v>
      </c>
      <c r="I65" s="311">
        <f>B65+F65</f>
        <v>774327119</v>
      </c>
    </row>
    <row r="66" spans="1:9" ht="15.75" x14ac:dyDescent="0.25">
      <c r="A66" s="412" t="s">
        <v>356</v>
      </c>
      <c r="B66" s="311">
        <f t="shared" si="9"/>
        <v>101316303</v>
      </c>
      <c r="C66" s="311">
        <f t="shared" si="9"/>
        <v>0</v>
      </c>
      <c r="D66" s="311">
        <f t="shared" si="9"/>
        <v>101316303</v>
      </c>
      <c r="E66" s="311"/>
      <c r="F66" s="311">
        <v>0</v>
      </c>
      <c r="G66" s="311">
        <v>0</v>
      </c>
      <c r="H66" s="311">
        <f t="shared" si="10"/>
        <v>0</v>
      </c>
      <c r="I66" s="311">
        <f t="shared" ref="I66:I85" si="11">B66+F66</f>
        <v>101316303</v>
      </c>
    </row>
    <row r="67" spans="1:9" ht="15.75" x14ac:dyDescent="0.25">
      <c r="A67" s="412" t="s">
        <v>348</v>
      </c>
      <c r="B67" s="311">
        <f>B11-B81</f>
        <v>809399407</v>
      </c>
      <c r="C67" s="311">
        <f t="shared" si="9"/>
        <v>8534803</v>
      </c>
      <c r="D67" s="311">
        <f>D11-D81</f>
        <v>817934210</v>
      </c>
      <c r="E67" s="311"/>
      <c r="F67" s="311">
        <f>Pasākumu_līmenis!F196+Pasākumu_līmenis!F197</f>
        <v>779203</v>
      </c>
      <c r="G67" s="311">
        <v>0</v>
      </c>
      <c r="H67" s="311">
        <f t="shared" si="10"/>
        <v>779203</v>
      </c>
      <c r="I67" s="311">
        <f t="shared" si="11"/>
        <v>810178610</v>
      </c>
    </row>
    <row r="68" spans="1:9" ht="15.75" x14ac:dyDescent="0.25">
      <c r="A68" s="412" t="s">
        <v>355</v>
      </c>
      <c r="B68" s="311">
        <f>B12-B82</f>
        <v>126060289</v>
      </c>
      <c r="C68" s="311">
        <f t="shared" si="9"/>
        <v>0</v>
      </c>
      <c r="D68" s="311">
        <f>D12-D82</f>
        <v>126060289</v>
      </c>
      <c r="E68" s="311"/>
      <c r="F68" s="311">
        <v>0</v>
      </c>
      <c r="G68" s="311">
        <v>0</v>
      </c>
      <c r="H68" s="311">
        <f t="shared" si="10"/>
        <v>0</v>
      </c>
      <c r="I68" s="311">
        <f t="shared" si="11"/>
        <v>126060289</v>
      </c>
    </row>
    <row r="69" spans="1:9" ht="15.75" x14ac:dyDescent="0.25">
      <c r="A69" s="412" t="s">
        <v>351</v>
      </c>
      <c r="B69" s="311">
        <f>B13-B83</f>
        <v>380998702</v>
      </c>
      <c r="C69" s="311">
        <f t="shared" si="9"/>
        <v>782851</v>
      </c>
      <c r="D69" s="311">
        <f>D13-D83</f>
        <v>381781553</v>
      </c>
      <c r="E69" s="311"/>
      <c r="F69" s="311">
        <f>Pasākumu_līmenis!F194</f>
        <v>0</v>
      </c>
      <c r="G69" s="311">
        <v>0</v>
      </c>
      <c r="H69" s="311">
        <f t="shared" si="10"/>
        <v>0</v>
      </c>
      <c r="I69" s="311">
        <f t="shared" si="11"/>
        <v>380998702</v>
      </c>
    </row>
    <row r="70" spans="1:9" ht="15.75" x14ac:dyDescent="0.25">
      <c r="A70" s="412" t="s">
        <v>347</v>
      </c>
      <c r="B70" s="311">
        <f t="shared" si="9"/>
        <v>1215646611</v>
      </c>
      <c r="C70" s="311">
        <f t="shared" si="9"/>
        <v>0</v>
      </c>
      <c r="D70" s="311">
        <f t="shared" si="9"/>
        <v>1215646611</v>
      </c>
      <c r="E70" s="311"/>
      <c r="F70" s="311">
        <v>0</v>
      </c>
      <c r="G70" s="311">
        <v>0</v>
      </c>
      <c r="H70" s="311">
        <f t="shared" si="10"/>
        <v>0</v>
      </c>
      <c r="I70" s="311">
        <f t="shared" si="11"/>
        <v>1215646611</v>
      </c>
    </row>
    <row r="71" spans="1:9" ht="15.75" x14ac:dyDescent="0.25">
      <c r="A71" s="412" t="s">
        <v>353</v>
      </c>
      <c r="B71" s="311">
        <f t="shared" si="9"/>
        <v>17490523</v>
      </c>
      <c r="C71" s="311">
        <f t="shared" si="9"/>
        <v>0</v>
      </c>
      <c r="D71" s="311">
        <f t="shared" si="9"/>
        <v>17490523</v>
      </c>
      <c r="E71" s="311"/>
      <c r="F71" s="311">
        <v>0</v>
      </c>
      <c r="G71" s="311">
        <v>0</v>
      </c>
      <c r="H71" s="311">
        <f t="shared" si="10"/>
        <v>0</v>
      </c>
      <c r="I71" s="311">
        <f t="shared" si="11"/>
        <v>17490523</v>
      </c>
    </row>
    <row r="72" spans="1:9" ht="15.75" x14ac:dyDescent="0.25">
      <c r="A72" s="412" t="s">
        <v>350</v>
      </c>
      <c r="B72" s="311">
        <f>B16-B84</f>
        <v>692267897</v>
      </c>
      <c r="C72" s="311">
        <f t="shared" si="9"/>
        <v>46914125</v>
      </c>
      <c r="D72" s="311">
        <f>D16-D84</f>
        <v>739182022</v>
      </c>
      <c r="E72" s="311"/>
      <c r="F72" s="311">
        <f>Pasākumu_līmenis!F191</f>
        <v>1059959</v>
      </c>
      <c r="G72" s="311">
        <v>0</v>
      </c>
      <c r="H72" s="311">
        <f t="shared" si="10"/>
        <v>1059959</v>
      </c>
      <c r="I72" s="311">
        <f t="shared" si="11"/>
        <v>693327856</v>
      </c>
    </row>
    <row r="73" spans="1:9" ht="15.75" x14ac:dyDescent="0.25">
      <c r="A73" s="412" t="s">
        <v>354</v>
      </c>
      <c r="B73" s="311">
        <f t="shared" si="9"/>
        <v>8569373</v>
      </c>
      <c r="C73" s="311">
        <f t="shared" si="9"/>
        <v>0</v>
      </c>
      <c r="D73" s="311">
        <f t="shared" si="9"/>
        <v>8569373</v>
      </c>
      <c r="E73" s="311"/>
      <c r="F73" s="311">
        <v>0</v>
      </c>
      <c r="G73" s="311">
        <v>0</v>
      </c>
      <c r="H73" s="311">
        <f t="shared" si="10"/>
        <v>0</v>
      </c>
      <c r="I73" s="311">
        <f t="shared" si="11"/>
        <v>8569373</v>
      </c>
    </row>
    <row r="74" spans="1:9" ht="15.75" x14ac:dyDescent="0.25">
      <c r="A74" s="412" t="s">
        <v>352</v>
      </c>
      <c r="B74" s="311">
        <f>B18-B85</f>
        <v>290317816</v>
      </c>
      <c r="C74" s="311">
        <f t="shared" si="9"/>
        <v>14530393</v>
      </c>
      <c r="D74" s="311">
        <f>D18-D85</f>
        <v>304848209</v>
      </c>
      <c r="E74" s="311"/>
      <c r="F74" s="311">
        <v>0</v>
      </c>
      <c r="G74" s="311">
        <v>0</v>
      </c>
      <c r="H74" s="311">
        <f t="shared" si="10"/>
        <v>0</v>
      </c>
      <c r="I74" s="311">
        <f t="shared" si="11"/>
        <v>290317816</v>
      </c>
    </row>
    <row r="75" spans="1:9" ht="15.75" x14ac:dyDescent="0.25">
      <c r="A75" s="412" t="s">
        <v>400</v>
      </c>
      <c r="B75" s="311">
        <f t="shared" si="9"/>
        <v>0</v>
      </c>
      <c r="C75" s="311">
        <f t="shared" si="9"/>
        <v>36881516</v>
      </c>
      <c r="D75" s="311">
        <f t="shared" si="9"/>
        <v>36881516</v>
      </c>
      <c r="E75" s="311"/>
      <c r="F75" s="311">
        <v>0</v>
      </c>
      <c r="G75" s="311">
        <v>0</v>
      </c>
      <c r="H75" s="311">
        <f t="shared" si="10"/>
        <v>0</v>
      </c>
      <c r="I75" s="311">
        <f t="shared" si="11"/>
        <v>0</v>
      </c>
    </row>
    <row r="76" spans="1:9" ht="15.75" x14ac:dyDescent="0.25">
      <c r="A76" s="529" t="s">
        <v>1302</v>
      </c>
      <c r="B76" s="529"/>
      <c r="C76" s="529"/>
      <c r="D76" s="529"/>
      <c r="E76" s="413"/>
      <c r="F76" s="411">
        <f>B56</f>
        <v>9238922</v>
      </c>
      <c r="G76" s="411">
        <f>C56</f>
        <v>-7399760</v>
      </c>
      <c r="H76" s="411">
        <f>G76+F76</f>
        <v>1839162</v>
      </c>
      <c r="I76" s="411">
        <f t="shared" si="11"/>
        <v>9238922</v>
      </c>
    </row>
    <row r="77" spans="1:9" ht="15.75" x14ac:dyDescent="0.25">
      <c r="A77" s="535" t="s">
        <v>1305</v>
      </c>
      <c r="B77" s="535"/>
      <c r="C77" s="535"/>
      <c r="D77" s="535" t="s">
        <v>1305</v>
      </c>
      <c r="E77" s="414"/>
      <c r="F77" s="415">
        <f>F64-F76</f>
        <v>0</v>
      </c>
      <c r="G77" s="415">
        <f>G64-G76</f>
        <v>0</v>
      </c>
      <c r="H77" s="415">
        <f>H64-H76</f>
        <v>0</v>
      </c>
      <c r="I77" s="411">
        <f t="shared" si="11"/>
        <v>0</v>
      </c>
    </row>
    <row r="78" spans="1:9" ht="15.75" x14ac:dyDescent="0.25">
      <c r="A78" s="533"/>
      <c r="B78" s="416" t="s">
        <v>1345</v>
      </c>
      <c r="C78" s="417" t="s">
        <v>1301</v>
      </c>
      <c r="D78" s="417" t="s">
        <v>402</v>
      </c>
      <c r="E78" s="416"/>
      <c r="F78" s="416" t="s">
        <v>1345</v>
      </c>
      <c r="G78" s="418" t="s">
        <v>1301</v>
      </c>
      <c r="H78" s="418" t="s">
        <v>402</v>
      </c>
      <c r="I78" s="411"/>
    </row>
    <row r="79" spans="1:9" ht="15.75" x14ac:dyDescent="0.25">
      <c r="A79" s="534"/>
      <c r="B79" s="411">
        <f t="shared" ref="B79:G79" si="12">SUM(B80:B85)</f>
        <v>219918945</v>
      </c>
      <c r="C79" s="411">
        <f t="shared" si="12"/>
        <v>1</v>
      </c>
      <c r="D79" s="411">
        <f t="shared" si="12"/>
        <v>219918946</v>
      </c>
      <c r="E79" s="411">
        <f t="shared" si="12"/>
        <v>0</v>
      </c>
      <c r="F79" s="411">
        <f t="shared" si="12"/>
        <v>2524642</v>
      </c>
      <c r="G79" s="411">
        <f t="shared" si="12"/>
        <v>0</v>
      </c>
      <c r="H79" s="411">
        <f>F79+G79</f>
        <v>2524642</v>
      </c>
      <c r="I79" s="411">
        <f>B79+F79</f>
        <v>222443587</v>
      </c>
    </row>
    <row r="80" spans="1:9" ht="15.75" x14ac:dyDescent="0.25">
      <c r="A80" s="316" t="s">
        <v>349</v>
      </c>
      <c r="B80" s="315">
        <f>B46</f>
        <v>67136989</v>
      </c>
      <c r="C80" s="419">
        <f>C46</f>
        <v>1</v>
      </c>
      <c r="D80" s="315">
        <f>B80+C80</f>
        <v>67136990</v>
      </c>
      <c r="E80" s="314"/>
      <c r="F80" s="311">
        <f>Pasākumu_līmenis!F200</f>
        <v>0</v>
      </c>
      <c r="G80" s="311">
        <f>Pasākumu_līmenis!G200</f>
        <v>0</v>
      </c>
      <c r="H80" s="311">
        <f t="shared" ref="H80:H85" si="13">F80+G80</f>
        <v>0</v>
      </c>
      <c r="I80" s="311">
        <f>B80+F80</f>
        <v>67136989</v>
      </c>
    </row>
    <row r="81" spans="1:9" ht="15.75" x14ac:dyDescent="0.25">
      <c r="A81" s="316" t="s">
        <v>348</v>
      </c>
      <c r="B81" s="315">
        <f>B47+B52</f>
        <v>22338789</v>
      </c>
      <c r="C81" s="419">
        <f>SUM(C82:C87)</f>
        <v>0</v>
      </c>
      <c r="D81" s="315">
        <f t="shared" ref="D81:D85" si="14">B81+C81</f>
        <v>22338789</v>
      </c>
      <c r="E81" s="314"/>
      <c r="F81" s="311">
        <f>Pasākumu_līmenis!F201+Pasākumu_līmenis!F202</f>
        <v>2524642</v>
      </c>
      <c r="G81" s="311">
        <f>Pasākumu_līmenis!G201+Pasākumu_līmenis!G202</f>
        <v>0</v>
      </c>
      <c r="H81" s="311">
        <f t="shared" si="13"/>
        <v>2524642</v>
      </c>
      <c r="I81" s="311">
        <f t="shared" si="11"/>
        <v>24863431</v>
      </c>
    </row>
    <row r="82" spans="1:9" ht="15.75" x14ac:dyDescent="0.25">
      <c r="A82" s="316" t="s">
        <v>355</v>
      </c>
      <c r="B82" s="315">
        <f>B48</f>
        <v>10108455</v>
      </c>
      <c r="C82" s="419">
        <f>SUM(C83:C88)</f>
        <v>0</v>
      </c>
      <c r="D82" s="315">
        <f t="shared" si="14"/>
        <v>10108455</v>
      </c>
      <c r="E82" s="314"/>
      <c r="F82" s="311">
        <v>0</v>
      </c>
      <c r="G82" s="311">
        <v>0</v>
      </c>
      <c r="H82" s="311">
        <f t="shared" si="13"/>
        <v>0</v>
      </c>
      <c r="I82" s="311">
        <f t="shared" si="11"/>
        <v>10108455</v>
      </c>
    </row>
    <row r="83" spans="1:9" ht="15.75" x14ac:dyDescent="0.25">
      <c r="A83" s="316" t="s">
        <v>351</v>
      </c>
      <c r="B83" s="315">
        <f>B53</f>
        <v>11527850</v>
      </c>
      <c r="C83" s="419">
        <f t="shared" ref="C83" si="15">SUM(C84:C89)</f>
        <v>0</v>
      </c>
      <c r="D83" s="315">
        <f t="shared" si="14"/>
        <v>11527850</v>
      </c>
      <c r="E83" s="314"/>
      <c r="F83" s="311">
        <v>0</v>
      </c>
      <c r="G83" s="311">
        <v>0</v>
      </c>
      <c r="H83" s="311">
        <f t="shared" si="13"/>
        <v>0</v>
      </c>
      <c r="I83" s="311">
        <f t="shared" si="11"/>
        <v>11527850</v>
      </c>
    </row>
    <row r="84" spans="1:9" ht="15.75" x14ac:dyDescent="0.25">
      <c r="A84" s="316" t="s">
        <v>350</v>
      </c>
      <c r="B84" s="311">
        <f>B49</f>
        <v>52973746</v>
      </c>
      <c r="C84" s="419">
        <f t="shared" ref="C84" si="16">SUM(C85:C90)</f>
        <v>0</v>
      </c>
      <c r="D84" s="315">
        <f t="shared" si="14"/>
        <v>52973746</v>
      </c>
      <c r="E84" s="314"/>
      <c r="F84" s="311">
        <f>Pasākumu_līmenis!F203</f>
        <v>0</v>
      </c>
      <c r="G84" s="311">
        <v>0</v>
      </c>
      <c r="H84" s="311">
        <f t="shared" si="13"/>
        <v>0</v>
      </c>
      <c r="I84" s="311">
        <f t="shared" si="11"/>
        <v>52973746</v>
      </c>
    </row>
    <row r="85" spans="1:9" ht="15.75" x14ac:dyDescent="0.25">
      <c r="A85" s="316" t="s">
        <v>352</v>
      </c>
      <c r="B85" s="315">
        <f>B50+B54</f>
        <v>55833116</v>
      </c>
      <c r="C85" s="419">
        <f t="shared" ref="C85" si="17">SUM(C86:C91)</f>
        <v>0</v>
      </c>
      <c r="D85" s="315">
        <f t="shared" si="14"/>
        <v>55833116</v>
      </c>
      <c r="E85" s="314"/>
      <c r="F85" s="311">
        <f>Pasākumu_līmenis!F204</f>
        <v>0</v>
      </c>
      <c r="G85" s="311">
        <f>Pasākumu_līmenis!G204</f>
        <v>0</v>
      </c>
      <c r="H85" s="311">
        <f t="shared" si="13"/>
        <v>0</v>
      </c>
      <c r="I85" s="311">
        <f t="shared" si="11"/>
        <v>55833116</v>
      </c>
    </row>
  </sheetData>
  <sortState xmlns:xlrd2="http://schemas.microsoft.com/office/spreadsheetml/2017/richdata2" ref="A14:A24">
    <sortCondition ref="A14"/>
  </sortState>
  <mergeCells count="17">
    <mergeCell ref="B62:D62"/>
    <mergeCell ref="I62:I63"/>
    <mergeCell ref="A76:D76"/>
    <mergeCell ref="F62:H62"/>
    <mergeCell ref="A78:A79"/>
    <mergeCell ref="A77:D77"/>
    <mergeCell ref="A62:A64"/>
    <mergeCell ref="B1:M1"/>
    <mergeCell ref="A2:M2"/>
    <mergeCell ref="A3:M3"/>
    <mergeCell ref="A57:M57"/>
    <mergeCell ref="F4:G4"/>
    <mergeCell ref="H4:I4"/>
    <mergeCell ref="J4:K4"/>
    <mergeCell ref="L4:M4"/>
    <mergeCell ref="A4:A5"/>
    <mergeCell ref="B4:E4"/>
  </mergeCells>
  <pageMargins left="0.25" right="0.25" top="0.75" bottom="0.75" header="0.3" footer="0.3"/>
  <pageSetup paperSize="9" scale="5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4" tint="0.59999389629810485"/>
  </sheetPr>
  <dimension ref="A1:D20"/>
  <sheetViews>
    <sheetView workbookViewId="0">
      <selection activeCell="F11" sqref="F11"/>
    </sheetView>
  </sheetViews>
  <sheetFormatPr defaultRowHeight="15" x14ac:dyDescent="0.25"/>
  <cols>
    <col min="1" max="1" width="27.5703125" customWidth="1"/>
    <col min="2" max="2" width="14.42578125" customWidth="1"/>
    <col min="3" max="3" width="17.42578125" customWidth="1"/>
    <col min="4" max="4" width="15" customWidth="1"/>
  </cols>
  <sheetData>
    <row r="1" spans="1:4" ht="15.75" x14ac:dyDescent="0.25">
      <c r="A1" s="268" t="str">
        <f>Pasākumu_līmenis!A2</f>
        <v>Sagatavots 15.01.2026.</v>
      </c>
    </row>
    <row r="3" spans="1:4" x14ac:dyDescent="0.25">
      <c r="D3" s="59"/>
    </row>
    <row r="4" spans="1:4" ht="15" customHeight="1" x14ac:dyDescent="0.25">
      <c r="A4" s="536" t="s">
        <v>1608</v>
      </c>
      <c r="B4" s="536"/>
      <c r="C4" s="536"/>
      <c r="D4" s="59"/>
    </row>
    <row r="5" spans="1:4" ht="20.25" customHeight="1" x14ac:dyDescent="0.25">
      <c r="A5" s="538" t="s">
        <v>392</v>
      </c>
      <c r="B5" s="538" t="s">
        <v>2</v>
      </c>
      <c r="C5" s="539" t="s">
        <v>424</v>
      </c>
      <c r="D5" s="540"/>
    </row>
    <row r="6" spans="1:4" ht="60" customHeight="1" x14ac:dyDescent="0.25">
      <c r="A6" s="538"/>
      <c r="B6" s="538"/>
      <c r="C6" s="127" t="s">
        <v>425</v>
      </c>
      <c r="D6" s="128" t="s">
        <v>1254</v>
      </c>
    </row>
    <row r="7" spans="1:4" ht="13.5" customHeight="1" x14ac:dyDescent="0.25">
      <c r="A7" s="537" t="s">
        <v>1243</v>
      </c>
      <c r="B7" s="112" t="s">
        <v>346</v>
      </c>
      <c r="C7" s="129">
        <v>676704825</v>
      </c>
      <c r="D7" s="113">
        <f>C7/Fin_progress!H8</f>
        <v>1.0011528117716977</v>
      </c>
    </row>
    <row r="8" spans="1:4" ht="13.5" customHeight="1" x14ac:dyDescent="0.25">
      <c r="A8" s="537"/>
      <c r="B8" s="112" t="s">
        <v>345</v>
      </c>
      <c r="C8" s="129">
        <v>1246634592</v>
      </c>
      <c r="D8" s="113">
        <f>C8/Fin_progress!H11</f>
        <v>1.0068324104974791</v>
      </c>
    </row>
    <row r="9" spans="1:4" ht="13.5" customHeight="1" x14ac:dyDescent="0.25">
      <c r="A9" s="537"/>
      <c r="B9" s="112" t="s">
        <v>344</v>
      </c>
      <c r="C9" s="129">
        <v>2465883158</v>
      </c>
      <c r="D9" s="113">
        <f>C9/Fin_progress!H10</f>
        <v>1</v>
      </c>
    </row>
    <row r="10" spans="1:4" ht="13.5" customHeight="1" x14ac:dyDescent="0.25">
      <c r="A10" s="537"/>
      <c r="B10" s="112" t="s">
        <v>358</v>
      </c>
      <c r="C10" s="129">
        <v>29010639</v>
      </c>
      <c r="D10" s="113">
        <f>C10/Fin_progress!H9</f>
        <v>1</v>
      </c>
    </row>
    <row r="11" spans="1:4" ht="13.5" customHeight="1" x14ac:dyDescent="0.25">
      <c r="A11" s="375"/>
      <c r="B11" s="112" t="s">
        <v>1353</v>
      </c>
      <c r="C11" s="129">
        <v>199954500</v>
      </c>
      <c r="D11" s="113">
        <f>C11/Fin_progress!H12</f>
        <v>1</v>
      </c>
    </row>
    <row r="12" spans="1:4" ht="13.5" customHeight="1" x14ac:dyDescent="0.25">
      <c r="A12" s="375"/>
      <c r="B12" s="112" t="s">
        <v>1354</v>
      </c>
      <c r="C12" s="129">
        <v>22489087</v>
      </c>
      <c r="D12" s="113">
        <f>C12/Fin_progress!H13</f>
        <v>1</v>
      </c>
    </row>
    <row r="13" spans="1:4" ht="15.75" x14ac:dyDescent="0.25">
      <c r="A13" s="114" t="s">
        <v>393</v>
      </c>
      <c r="B13" s="115"/>
      <c r="C13" s="116">
        <f>SUM(C7:C12)</f>
        <v>4640676801</v>
      </c>
      <c r="D13" s="117">
        <f>C13/Fin_progress!H6</f>
        <v>1.0000000025858298</v>
      </c>
    </row>
    <row r="14" spans="1:4" x14ac:dyDescent="0.25">
      <c r="B14" s="59"/>
      <c r="C14" s="61"/>
      <c r="D14" s="59"/>
    </row>
    <row r="15" spans="1:4" x14ac:dyDescent="0.25">
      <c r="A15" s="62"/>
      <c r="B15" s="59"/>
      <c r="C15" s="61"/>
      <c r="D15" s="59"/>
    </row>
    <row r="16" spans="1:4" x14ac:dyDescent="0.25">
      <c r="A16" s="467" t="s">
        <v>616</v>
      </c>
      <c r="B16" s="59"/>
      <c r="C16" s="61"/>
      <c r="D16" s="59"/>
    </row>
    <row r="17" spans="1:1" x14ac:dyDescent="0.25">
      <c r="A17" s="60"/>
    </row>
    <row r="18" spans="1:1" x14ac:dyDescent="0.25">
      <c r="A18" s="60"/>
    </row>
    <row r="19" spans="1:1" x14ac:dyDescent="0.25">
      <c r="A19" s="60"/>
    </row>
    <row r="20" spans="1:1" x14ac:dyDescent="0.25">
      <c r="A20" s="60"/>
    </row>
  </sheetData>
  <mergeCells count="5">
    <mergeCell ref="A4:C4"/>
    <mergeCell ref="A7:A10"/>
    <mergeCell ref="A5:A6"/>
    <mergeCell ref="B5:B6"/>
    <mergeCell ref="C5:D5"/>
  </mergeCells>
  <hyperlinks>
    <hyperlink ref="A16" r:id="rId1" xr:uid="{8B9126DA-A705-458C-A02C-EE1169EB1EAB}"/>
  </hyperlinks>
  <pageMargins left="0.7" right="0.7" top="0.75" bottom="0.75" header="0.3" footer="0.3"/>
  <pageSetup paperSize="9"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4" tint="0.59999389629810485"/>
    <pageSetUpPr fitToPage="1"/>
  </sheetPr>
  <dimension ref="A1:L16"/>
  <sheetViews>
    <sheetView zoomScaleNormal="100" workbookViewId="0">
      <selection activeCell="H22" sqref="H22"/>
    </sheetView>
  </sheetViews>
  <sheetFormatPr defaultRowHeight="15" x14ac:dyDescent="0.25"/>
  <cols>
    <col min="1" max="1" width="24.42578125" customWidth="1"/>
    <col min="2" max="2" width="25.5703125" customWidth="1"/>
    <col min="3" max="3" width="20.42578125" customWidth="1"/>
    <col min="4" max="4" width="14.5703125" customWidth="1"/>
    <col min="5" max="5" width="20.42578125" customWidth="1"/>
    <col min="6" max="6" width="13.5703125" customWidth="1"/>
    <col min="7" max="7" width="19.5703125" customWidth="1"/>
    <col min="8" max="8" width="13.5703125" customWidth="1"/>
    <col min="9" max="9" width="21.5703125" bestFit="1" customWidth="1"/>
    <col min="10" max="10" width="15.5703125" customWidth="1"/>
    <col min="11" max="11" width="21.5703125" customWidth="1"/>
    <col min="12" max="12" width="19.42578125" customWidth="1"/>
  </cols>
  <sheetData>
    <row r="1" spans="1:12" ht="20.25" x14ac:dyDescent="0.25">
      <c r="A1" s="266" t="str">
        <f>Pasākumu_līmenis!A2</f>
        <v>Sagatavots 15.01.2026.</v>
      </c>
    </row>
    <row r="2" spans="1:12" ht="26.25" thickBot="1" x14ac:dyDescent="0.4">
      <c r="B2" s="243"/>
      <c r="C2" s="514" t="str">
        <f ca="1">Pasākumu_līmenis!A1</f>
        <v>2014.-2020. gada plānošanas perioda ES fondu ieviešanas statuss (ES fondu daļa, EUR) uz 31.12.2025</v>
      </c>
      <c r="D2" s="514"/>
      <c r="E2" s="514"/>
      <c r="F2" s="514"/>
      <c r="G2" s="514"/>
      <c r="H2" s="514"/>
      <c r="I2" s="514"/>
      <c r="J2" s="514"/>
      <c r="K2" s="514"/>
      <c r="L2" s="514"/>
    </row>
    <row r="3" spans="1:12" ht="36" customHeight="1" x14ac:dyDescent="0.25">
      <c r="A3" s="543" t="s">
        <v>2</v>
      </c>
      <c r="B3" s="545" t="s">
        <v>1246</v>
      </c>
      <c r="C3" s="547" t="s">
        <v>615</v>
      </c>
      <c r="D3" s="548"/>
      <c r="E3" s="541" t="s">
        <v>369</v>
      </c>
      <c r="F3" s="542"/>
      <c r="G3" s="541" t="s">
        <v>159</v>
      </c>
      <c r="H3" s="549"/>
      <c r="I3" s="541" t="s">
        <v>368</v>
      </c>
      <c r="J3" s="542"/>
      <c r="K3" s="541" t="str">
        <f>EK_maksājumi!A4</f>
        <v>No EK saņemtie ES fondu maksājumi, EUR  uz 31.08.2025.</v>
      </c>
      <c r="L3" s="542"/>
    </row>
    <row r="4" spans="1:12" ht="72.75" customHeight="1" x14ac:dyDescent="0.25">
      <c r="A4" s="544"/>
      <c r="B4" s="546"/>
      <c r="C4" s="52" t="str">
        <f>Fin_progress!L4</f>
        <v xml:space="preserve">Projektu apjoms
</v>
      </c>
      <c r="D4" s="53" t="str">
        <f>Fin_progress!M4</f>
        <v xml:space="preserve"> % no piešķiruma</v>
      </c>
      <c r="E4" s="54" t="str">
        <f>Fin_progress!S4</f>
        <v xml:space="preserve">Projektu apjoms
</v>
      </c>
      <c r="F4" s="51" t="str">
        <f>Fin_progress!T4</f>
        <v xml:space="preserve"> % no piešķiruma</v>
      </c>
      <c r="G4" s="54" t="str">
        <f>Fin_progress!Z4</f>
        <v xml:space="preserve">Projektu apjoms
</v>
      </c>
      <c r="H4" s="53" t="str">
        <f>Fin_progress!AA4</f>
        <v xml:space="preserve"> % no piešķiruma</v>
      </c>
      <c r="I4" s="54" t="str">
        <f>Fin_progress!AG4</f>
        <v>Maksājumu apjoms</v>
      </c>
      <c r="J4" s="51" t="str">
        <f>Fin_progress!AH4</f>
        <v>% no piešķiruma</v>
      </c>
      <c r="K4" s="54" t="s">
        <v>410</v>
      </c>
      <c r="L4" s="51" t="s">
        <v>471</v>
      </c>
    </row>
    <row r="5" spans="1:12" ht="19.5" x14ac:dyDescent="0.35">
      <c r="A5" s="47" t="s">
        <v>1354</v>
      </c>
      <c r="B5" s="48">
        <f>Fin_progress!H13</f>
        <v>22489087</v>
      </c>
      <c r="C5" s="48">
        <f>Fin_progress!L13</f>
        <v>21467834.219999999</v>
      </c>
      <c r="D5" s="49">
        <f>Fin_progress!M13</f>
        <v>0.95458896219308498</v>
      </c>
      <c r="E5" s="48">
        <f>Fin_progress!S13</f>
        <v>21467834.219999999</v>
      </c>
      <c r="F5" s="49">
        <f>Fin_progress!T13</f>
        <v>0.95458896219308498</v>
      </c>
      <c r="G5" s="48">
        <f>Fin_progress!Z13</f>
        <v>21467834.219999999</v>
      </c>
      <c r="H5" s="49">
        <f>Fin_progress!AA13</f>
        <v>0.95458896219308498</v>
      </c>
      <c r="I5" s="48">
        <f>Fin_progress!AG13</f>
        <v>21128869.52</v>
      </c>
      <c r="J5" s="49">
        <f>Fin_progress!AH13</f>
        <v>0.93951655396237288</v>
      </c>
      <c r="K5" s="48">
        <f>EK_maksājumi!C12</f>
        <v>22489087</v>
      </c>
      <c r="L5" s="49">
        <f>EK_maksājumi!D12</f>
        <v>1</v>
      </c>
    </row>
    <row r="6" spans="1:12" ht="19.5" x14ac:dyDescent="0.35">
      <c r="A6" s="47" t="s">
        <v>1353</v>
      </c>
      <c r="B6" s="48">
        <f>Fin_progress!H12</f>
        <v>199954500</v>
      </c>
      <c r="C6" s="48">
        <f>Fin_progress!L12</f>
        <v>172648849.45000002</v>
      </c>
      <c r="D6" s="49">
        <f>Fin_progress!M12</f>
        <v>0.8634406800047012</v>
      </c>
      <c r="E6" s="48">
        <f>Fin_progress!S12</f>
        <v>172648849.45000002</v>
      </c>
      <c r="F6" s="49">
        <f>Fin_progress!T12</f>
        <v>0.8634406800047012</v>
      </c>
      <c r="G6" s="48">
        <f>Fin_progress!Z12</f>
        <v>172648849.45000002</v>
      </c>
      <c r="H6" s="49">
        <f>Fin_progress!AA12</f>
        <v>0.8634406800047012</v>
      </c>
      <c r="I6" s="48">
        <f>Fin_progress!AG12</f>
        <v>170369875.22000003</v>
      </c>
      <c r="J6" s="49">
        <f>Fin_progress!AH12</f>
        <v>0.85204321593162458</v>
      </c>
      <c r="K6" s="48">
        <f>EK_maksājumi!C11</f>
        <v>199954500</v>
      </c>
      <c r="L6" s="49">
        <f>EK_maksājumi!D11</f>
        <v>1</v>
      </c>
    </row>
    <row r="7" spans="1:12" ht="19.5" x14ac:dyDescent="0.35">
      <c r="A7" s="47" t="s">
        <v>371</v>
      </c>
      <c r="B7" s="48">
        <f>Fin_progress!H9</f>
        <v>29010639</v>
      </c>
      <c r="C7" s="48">
        <f>Fin_progress!L9</f>
        <v>28810403.620000001</v>
      </c>
      <c r="D7" s="49">
        <f>Fin_progress!M9</f>
        <v>0.99309786385608401</v>
      </c>
      <c r="E7" s="48">
        <f>Fin_progress!S9</f>
        <v>28810403.620000001</v>
      </c>
      <c r="F7" s="49">
        <f>Fin_progress!T9</f>
        <v>0.99309786385608401</v>
      </c>
      <c r="G7" s="48">
        <f>Fin_progress!Z9</f>
        <v>28810403.620000001</v>
      </c>
      <c r="H7" s="49">
        <f>Fin_progress!AA9</f>
        <v>0.99309786385608401</v>
      </c>
      <c r="I7" s="48">
        <f>Fin_progress!AG9</f>
        <v>28810403.620000001</v>
      </c>
      <c r="J7" s="49">
        <f>Fin_progress!AH9</f>
        <v>0.99309786385608401</v>
      </c>
      <c r="K7" s="48">
        <f>EK_maksājumi!C10</f>
        <v>29010639</v>
      </c>
      <c r="L7" s="49">
        <f>EK_maksājumi!D10</f>
        <v>1</v>
      </c>
    </row>
    <row r="8" spans="1:12" ht="19.5" x14ac:dyDescent="0.35">
      <c r="A8" s="47" t="s">
        <v>370</v>
      </c>
      <c r="B8" s="48">
        <f>Fin_progress!H8</f>
        <v>675925610</v>
      </c>
      <c r="C8" s="48">
        <f>Fin_progress!L8</f>
        <v>667741575.72000027</v>
      </c>
      <c r="D8" s="49">
        <f>Fin_progress!M8</f>
        <v>0.98789210800875005</v>
      </c>
      <c r="E8" s="48">
        <f>Fin_progress!S8</f>
        <v>667741575.72000027</v>
      </c>
      <c r="F8" s="49">
        <f>Fin_progress!T8</f>
        <v>0.98789210800875005</v>
      </c>
      <c r="G8" s="48">
        <f>Fin_progress!Z8</f>
        <v>667741575.72000027</v>
      </c>
      <c r="H8" s="49">
        <f>Fin_progress!AA8</f>
        <v>0.98789210800875005</v>
      </c>
      <c r="I8" s="48">
        <f>Fin_progress!AG8</f>
        <v>667124835.28000021</v>
      </c>
      <c r="J8" s="49">
        <f>Fin_progress!AH8</f>
        <v>0.98697966967104589</v>
      </c>
      <c r="K8" s="48">
        <f>EK_maksājumi!C7</f>
        <v>676704825</v>
      </c>
      <c r="L8" s="49">
        <f>EK_maksājumi!D7</f>
        <v>1.0011528117716977</v>
      </c>
    </row>
    <row r="9" spans="1:12" ht="19.5" x14ac:dyDescent="0.35">
      <c r="A9" s="47" t="s">
        <v>345</v>
      </c>
      <c r="B9" s="48">
        <f>Fin_progress!H11</f>
        <v>1238174873</v>
      </c>
      <c r="C9" s="48">
        <f>Fin_progress!L11</f>
        <v>1292653271.4099998</v>
      </c>
      <c r="D9" s="49">
        <f>Fin_progress!M11</f>
        <v>1.0439989532964782</v>
      </c>
      <c r="E9" s="48">
        <f>Fin_progress!S11</f>
        <v>1292653271.4099998</v>
      </c>
      <c r="F9" s="49">
        <f>Fin_progress!T11</f>
        <v>1.0439989532964782</v>
      </c>
      <c r="G9" s="48">
        <f>Fin_progress!Z11</f>
        <v>1292653271.4099998</v>
      </c>
      <c r="H9" s="49">
        <f>Fin_progress!AA11</f>
        <v>1.0439989532964782</v>
      </c>
      <c r="I9" s="48">
        <f>Fin_progress!AG11</f>
        <v>1295013506.5199997</v>
      </c>
      <c r="J9" s="49">
        <f>Fin_progress!AH11</f>
        <v>1.045905174430074</v>
      </c>
      <c r="K9" s="48">
        <f>EK_maksājumi!C8</f>
        <v>1246634592</v>
      </c>
      <c r="L9" s="49">
        <f>EK_maksājumi!D8</f>
        <v>1.0068324104974791</v>
      </c>
    </row>
    <row r="10" spans="1:12" ht="19.5" x14ac:dyDescent="0.35">
      <c r="A10" s="47" t="s">
        <v>344</v>
      </c>
      <c r="B10" s="48">
        <f>Fin_progress!H10</f>
        <v>2465883158</v>
      </c>
      <c r="C10" s="48">
        <f>Fin_progress!L10</f>
        <v>2345956204.1599998</v>
      </c>
      <c r="D10" s="49">
        <f>Fin_progress!M10</f>
        <v>0.95136551646783252</v>
      </c>
      <c r="E10" s="48">
        <f>Fin_progress!S10</f>
        <v>2345956204.1599998</v>
      </c>
      <c r="F10" s="49">
        <f>Fin_progress!T10</f>
        <v>0.95136551646783252</v>
      </c>
      <c r="G10" s="48">
        <f>Fin_progress!Z10</f>
        <v>2345956204.1599998</v>
      </c>
      <c r="H10" s="49">
        <f>Fin_progress!AA10</f>
        <v>0.95136551646783252</v>
      </c>
      <c r="I10" s="48">
        <f>Fin_progress!AG10</f>
        <v>2315245571.4000001</v>
      </c>
      <c r="J10" s="49">
        <f>Fin_progress!AH10</f>
        <v>0.93891130400429135</v>
      </c>
      <c r="K10" s="48">
        <f>EK_maksājumi!C9</f>
        <v>2465883158</v>
      </c>
      <c r="L10" s="49">
        <f>EK_maksājumi!D9</f>
        <v>1</v>
      </c>
    </row>
    <row r="11" spans="1:12" ht="39.75" customHeight="1" x14ac:dyDescent="0.25">
      <c r="A11" s="50" t="s">
        <v>372</v>
      </c>
      <c r="B11" s="45">
        <f>Fin_progress!H6</f>
        <v>4640676789</v>
      </c>
      <c r="C11" s="45">
        <f>Fin_progress!L6</f>
        <v>4529278138.5799999</v>
      </c>
      <c r="D11" s="46">
        <f>Fin_progress!M6</f>
        <v>0.97599517150514481</v>
      </c>
      <c r="E11" s="45">
        <f>Fin_progress!S6</f>
        <v>4529278138.5799999</v>
      </c>
      <c r="F11" s="46">
        <f>Fin_progress!T6</f>
        <v>0.97599517150514481</v>
      </c>
      <c r="G11" s="45">
        <f>Fin_progress!Z6</f>
        <v>4529278138.5799999</v>
      </c>
      <c r="H11" s="46">
        <f>Fin_progress!AA6</f>
        <v>0.97599517150514481</v>
      </c>
      <c r="I11" s="45">
        <f>Fin_progress!AG6</f>
        <v>4497693061.5600004</v>
      </c>
      <c r="J11" s="46">
        <f>Fin_progress!AH6</f>
        <v>0.96918903557797431</v>
      </c>
      <c r="K11" s="45">
        <f>EK_maksājumi!C13</f>
        <v>4640676801</v>
      </c>
      <c r="L11" s="46">
        <f>EK_maksājumi!D13</f>
        <v>1.0000000025858298</v>
      </c>
    </row>
    <row r="14" spans="1:12" ht="20.25" x14ac:dyDescent="0.25">
      <c r="A14" s="118" t="str">
        <f ca="1">"ES Kohēzijas politikas finansējuma ieviešanas statuss fondu dalījumā (ES fondu finansējums, milj. EUR) uz " &amp;Pasākumu_līmenis!AL2</f>
        <v>ES Kohēzijas politikas finansējuma ieviešanas statuss fondu dalījumā (ES fondu finansējums, milj. EUR) uz 31.12.2025</v>
      </c>
    </row>
    <row r="16" spans="1:12" ht="20.25" x14ac:dyDescent="0.25">
      <c r="B16" s="118"/>
      <c r="C16" s="118"/>
      <c r="D16" s="118"/>
      <c r="E16" s="118"/>
      <c r="F16" s="118"/>
    </row>
  </sheetData>
  <mergeCells count="8">
    <mergeCell ref="C2:L2"/>
    <mergeCell ref="K3:L3"/>
    <mergeCell ref="A3:A4"/>
    <mergeCell ref="B3:B4"/>
    <mergeCell ref="C3:D3"/>
    <mergeCell ref="E3:F3"/>
    <mergeCell ref="G3:H3"/>
    <mergeCell ref="I3:J3"/>
  </mergeCells>
  <pageMargins left="0.25" right="0.25" top="0.75" bottom="0.75" header="0.3" footer="0.3"/>
  <pageSetup paperSize="9" scale="56"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theme="4" tint="0.59999389629810485"/>
    <pageSetUpPr fitToPage="1"/>
  </sheetPr>
  <dimension ref="A1:Z1"/>
  <sheetViews>
    <sheetView zoomScale="60" zoomScaleNormal="60" workbookViewId="0">
      <selection activeCell="AG16" sqref="AG16"/>
    </sheetView>
  </sheetViews>
  <sheetFormatPr defaultRowHeight="15" x14ac:dyDescent="0.25"/>
  <sheetData>
    <row r="1" spans="1:26" ht="26.25" x14ac:dyDescent="0.4">
      <c r="A1" s="465" t="str">
        <f ca="1" xml:space="preserve"> "2014.-2020. gada plānošanas perioda ES fondu ieviešanas statuss sadalījumā pa investīciju jomām (ES fondu daļa, EUR) uz "  &amp;Pasākumu_līmenis!AL2</f>
        <v>2014.-2020. gada plānošanas perioda ES fondu ieviešanas statuss sadalījumā pa investīciju jomām (ES fondu daļa, EUR) uz 31.12.2025</v>
      </c>
      <c r="Z1" s="266" t="str">
        <f>Pasākumu_līmenis!A2</f>
        <v>Sagatavots 15.01.2026.</v>
      </c>
    </row>
  </sheetData>
  <pageMargins left="0.7" right="0.7" top="0.75" bottom="0.75" header="0.3" footer="0.3"/>
  <pageSetup paperSize="9" scale="31" orientation="portrait" horizontalDpi="4294967293" verticalDpi="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theme="6" tint="0.59999389629810485"/>
    <pageSetUpPr fitToPage="1"/>
  </sheetPr>
  <dimension ref="A1:AN224"/>
  <sheetViews>
    <sheetView zoomScale="60" zoomScaleNormal="60" workbookViewId="0">
      <pane xSplit="1" ySplit="13" topLeftCell="B14" activePane="bottomRight" state="frozen"/>
      <selection pane="topRight" activeCell="B1" sqref="B1"/>
      <selection pane="bottomLeft" activeCell="A14" sqref="A14"/>
      <selection pane="bottomRight" activeCell="A3" sqref="A3"/>
    </sheetView>
  </sheetViews>
  <sheetFormatPr defaultColWidth="9.42578125" defaultRowHeight="18.75" outlineLevelCol="1" x14ac:dyDescent="0.3"/>
  <cols>
    <col min="1" max="1" width="11.5703125" style="19" customWidth="1"/>
    <col min="2" max="2" width="29.85546875" style="3" customWidth="1"/>
    <col min="3" max="3" width="35.5703125" style="3" customWidth="1" outlineLevel="1"/>
    <col min="4" max="4" width="13.42578125" style="3" customWidth="1"/>
    <col min="5" max="5" width="15.5703125" style="3" customWidth="1"/>
    <col min="6" max="6" width="24.42578125" style="3" customWidth="1"/>
    <col min="7" max="7" width="23.85546875" style="3" customWidth="1"/>
    <col min="8" max="8" width="18.5703125" style="3" customWidth="1"/>
    <col min="9" max="9" width="22" style="3" hidden="1" customWidth="1"/>
    <col min="10" max="10" width="19.42578125" style="3" customWidth="1"/>
    <col min="11" max="11" width="29.5703125" style="3" customWidth="1"/>
    <col min="12" max="12" width="23.5703125" style="3" customWidth="1"/>
    <col min="13" max="13" width="14.5703125" style="3" customWidth="1"/>
    <col min="14" max="14" width="10.5703125" style="3" customWidth="1"/>
    <col min="15" max="15" width="21.5703125" style="57" hidden="1" customWidth="1" outlineLevel="1"/>
    <col min="16" max="16" width="28.42578125" style="3" hidden="1" customWidth="1" outlineLevel="1"/>
    <col min="17" max="17" width="19.5703125" style="3" customWidth="1" collapsed="1"/>
    <col min="18" max="18" width="19.5703125" style="3" customWidth="1"/>
    <col min="19" max="20" width="15.5703125" style="3" customWidth="1"/>
    <col min="21" max="21" width="12.42578125" style="3" customWidth="1"/>
    <col min="22" max="22" width="19.42578125" style="3" hidden="1" customWidth="1" outlineLevel="1"/>
    <col min="23" max="23" width="12.5703125" style="55" hidden="1" customWidth="1" outlineLevel="1"/>
    <col min="24" max="24" width="21.5703125" style="25" customWidth="1" collapsed="1"/>
    <col min="25" max="25" width="17.42578125" style="3" customWidth="1"/>
    <col min="26" max="26" width="16.42578125" style="3" customWidth="1"/>
    <col min="27" max="27" width="12.5703125" style="3" customWidth="1"/>
    <col min="28" max="28" width="16" style="3" customWidth="1"/>
    <col min="29" max="29" width="20.42578125" style="3" hidden="1" customWidth="1" outlineLevel="1"/>
    <col min="30" max="30" width="15.5703125" style="55" hidden="1" customWidth="1" outlineLevel="1"/>
    <col min="31" max="31" width="23.5703125" style="3" bestFit="1" customWidth="1" collapsed="1"/>
    <col min="32" max="32" width="17.42578125" style="3" customWidth="1"/>
    <col min="33" max="33" width="16.42578125" style="3" customWidth="1"/>
    <col min="34" max="34" width="13.5703125" style="3" customWidth="1"/>
    <col min="35" max="35" width="18" style="57" hidden="1" customWidth="1" outlineLevel="1"/>
    <col min="36" max="36" width="18" style="55" hidden="1" customWidth="1" outlineLevel="1"/>
    <col min="37" max="37" width="9.42578125" style="3" customWidth="1" collapsed="1"/>
    <col min="38" max="38" width="19.42578125" style="3" customWidth="1"/>
    <col min="39" max="39" width="70.5703125" style="3" customWidth="1"/>
    <col min="40" max="40" width="14.42578125" style="3" bestFit="1" customWidth="1"/>
    <col min="41" max="16384" width="9.42578125" style="3"/>
  </cols>
  <sheetData>
    <row r="1" spans="1:40" ht="32.25" customHeight="1" x14ac:dyDescent="0.3">
      <c r="A1" s="143" t="str">
        <f ca="1">"2014.-2020. gada plānošanas perioda ES fondu ieviešanas statuss (ES fondu daļa, EUR) uz "&amp;AL2</f>
        <v>2014.-2020. gada plānošanas perioda ES fondu ieviešanas statuss (ES fondu daļa, EUR) uz 31.12.2025</v>
      </c>
      <c r="B1" s="143"/>
      <c r="C1" s="143"/>
      <c r="D1" s="143"/>
      <c r="E1" s="143"/>
      <c r="F1" s="143"/>
      <c r="G1" s="143"/>
      <c r="H1" s="143"/>
      <c r="I1" s="143"/>
      <c r="J1" s="143"/>
      <c r="K1" s="143"/>
      <c r="L1" s="143"/>
      <c r="M1" s="143"/>
      <c r="N1" s="143"/>
      <c r="O1" s="142"/>
      <c r="P1" s="142"/>
      <c r="Q1" s="143"/>
      <c r="R1" s="143"/>
      <c r="S1" s="143"/>
      <c r="T1" s="143"/>
      <c r="U1" s="143"/>
      <c r="V1" s="143"/>
      <c r="W1" s="143"/>
      <c r="X1" s="143"/>
      <c r="Y1" s="143"/>
      <c r="Z1" s="143"/>
      <c r="AA1" s="143"/>
      <c r="AB1" s="143"/>
      <c r="AC1" s="142"/>
      <c r="AD1" s="142"/>
      <c r="AE1" s="143"/>
      <c r="AF1" s="143"/>
      <c r="AG1" s="143"/>
      <c r="AH1" s="143"/>
      <c r="AL1" s="3" t="str" cm="1">
        <f t="array" aca="1" ref="AL1" ca="1">CELL("filename")</f>
        <v>S:\2014-2020\IEVIESANAS_PROGRESA_ANALIZE\1.Statusa tabula\2025\2025.12.31\Publicēšanai\[Statusa_tabula_2014-2020_uz_31.12.2025.xlsx]Grafiks_pa_investīciju_jomām</v>
      </c>
    </row>
    <row r="2" spans="1:40" ht="20.25" customHeight="1" x14ac:dyDescent="0.35">
      <c r="A2" s="19" t="s">
        <v>1611</v>
      </c>
      <c r="B2" s="13"/>
      <c r="E2" s="57">
        <v>0</v>
      </c>
      <c r="F2" s="301">
        <v>0</v>
      </c>
      <c r="G2" s="301">
        <f>F2-F6</f>
        <v>-4640676789</v>
      </c>
      <c r="H2" s="301">
        <v>-91548</v>
      </c>
      <c r="I2" s="23"/>
      <c r="J2" s="301"/>
      <c r="K2" s="57"/>
      <c r="L2" s="57"/>
      <c r="P2" s="57"/>
      <c r="Q2" s="301"/>
      <c r="X2" s="149"/>
      <c r="AE2" s="25"/>
      <c r="AL2" s="3" t="str">
        <f ca="1">MID(AL1, SEARCH("_uz_",AL1,1)+4, 10)</f>
        <v>31.12.2025</v>
      </c>
    </row>
    <row r="3" spans="1:40" ht="28.5" customHeight="1" x14ac:dyDescent="0.3">
      <c r="A3" s="144" t="s">
        <v>154</v>
      </c>
      <c r="B3" s="144"/>
      <c r="C3" s="144"/>
      <c r="D3" s="144"/>
      <c r="E3" s="144"/>
      <c r="F3" s="144" t="s">
        <v>156</v>
      </c>
      <c r="G3" s="144"/>
      <c r="H3" s="144"/>
      <c r="I3" s="145"/>
      <c r="J3" s="145" t="s">
        <v>615</v>
      </c>
      <c r="K3" s="146"/>
      <c r="L3" s="146"/>
      <c r="M3" s="146"/>
      <c r="N3" s="146"/>
      <c r="O3" s="146"/>
      <c r="P3" s="147"/>
      <c r="Q3" s="144" t="s">
        <v>413</v>
      </c>
      <c r="R3" s="144"/>
      <c r="S3" s="144"/>
      <c r="T3" s="144"/>
      <c r="U3" s="144"/>
      <c r="V3" s="144"/>
      <c r="W3" s="144"/>
      <c r="X3" s="145" t="s">
        <v>414</v>
      </c>
      <c r="Y3" s="146"/>
      <c r="Z3" s="146"/>
      <c r="AA3" s="146"/>
      <c r="AB3" s="146"/>
      <c r="AC3" s="146"/>
      <c r="AD3" s="147"/>
      <c r="AE3" s="145" t="s">
        <v>155</v>
      </c>
      <c r="AF3" s="146"/>
      <c r="AG3" s="146"/>
      <c r="AH3" s="146"/>
      <c r="AI3" s="146"/>
      <c r="AJ3" s="147"/>
    </row>
    <row r="4" spans="1:40" ht="120" customHeight="1" x14ac:dyDescent="0.3">
      <c r="A4" s="140" t="s">
        <v>3</v>
      </c>
      <c r="B4" s="68" t="s">
        <v>226</v>
      </c>
      <c r="C4" s="68" t="s">
        <v>11</v>
      </c>
      <c r="D4" s="28" t="s">
        <v>2</v>
      </c>
      <c r="E4" s="68" t="s">
        <v>463</v>
      </c>
      <c r="F4" s="68" t="s">
        <v>419</v>
      </c>
      <c r="G4" s="14" t="s">
        <v>158</v>
      </c>
      <c r="H4" s="14" t="s">
        <v>465</v>
      </c>
      <c r="I4" s="14" t="s">
        <v>1293</v>
      </c>
      <c r="J4" s="14" t="s">
        <v>406</v>
      </c>
      <c r="K4" s="14" t="s">
        <v>408</v>
      </c>
      <c r="L4" s="14" t="s">
        <v>387</v>
      </c>
      <c r="M4" s="14" t="s">
        <v>386</v>
      </c>
      <c r="N4" s="14" t="s">
        <v>412</v>
      </c>
      <c r="O4" s="15" t="s">
        <v>388</v>
      </c>
      <c r="P4" s="15" t="s">
        <v>382</v>
      </c>
      <c r="Q4" s="14" t="s">
        <v>406</v>
      </c>
      <c r="R4" s="14" t="s">
        <v>408</v>
      </c>
      <c r="S4" s="14" t="s">
        <v>387</v>
      </c>
      <c r="T4" s="14" t="s">
        <v>386</v>
      </c>
      <c r="U4" s="14" t="s">
        <v>412</v>
      </c>
      <c r="V4" s="56" t="s">
        <v>389</v>
      </c>
      <c r="W4" s="56" t="s">
        <v>383</v>
      </c>
      <c r="X4" s="14" t="s">
        <v>406</v>
      </c>
      <c r="Y4" s="14" t="s">
        <v>408</v>
      </c>
      <c r="Z4" s="14" t="s">
        <v>387</v>
      </c>
      <c r="AA4" s="14" t="s">
        <v>386</v>
      </c>
      <c r="AB4" s="14" t="s">
        <v>412</v>
      </c>
      <c r="AC4" s="56" t="s">
        <v>390</v>
      </c>
      <c r="AD4" s="56" t="s">
        <v>384</v>
      </c>
      <c r="AE4" s="14" t="s">
        <v>410</v>
      </c>
      <c r="AF4" s="14" t="s">
        <v>408</v>
      </c>
      <c r="AG4" s="14" t="s">
        <v>387</v>
      </c>
      <c r="AH4" s="14" t="s">
        <v>386</v>
      </c>
      <c r="AI4" s="15" t="s">
        <v>391</v>
      </c>
      <c r="AJ4" s="56" t="s">
        <v>385</v>
      </c>
      <c r="AL4" s="3" t="s">
        <v>1535</v>
      </c>
    </row>
    <row r="5" spans="1:40" x14ac:dyDescent="0.3">
      <c r="A5" s="4" t="s">
        <v>0</v>
      </c>
      <c r="B5" s="4" t="s">
        <v>4</v>
      </c>
      <c r="C5" s="4" t="s">
        <v>7</v>
      </c>
      <c r="D5" s="4" t="s">
        <v>153</v>
      </c>
      <c r="E5" s="4" t="s">
        <v>152</v>
      </c>
      <c r="F5" s="4" t="s">
        <v>12</v>
      </c>
      <c r="G5" s="90" t="s">
        <v>10</v>
      </c>
      <c r="H5" s="90" t="s">
        <v>427</v>
      </c>
      <c r="I5" s="90" t="s">
        <v>614</v>
      </c>
      <c r="J5" s="90" t="s">
        <v>18</v>
      </c>
      <c r="K5" s="90" t="s">
        <v>373</v>
      </c>
      <c r="L5" s="90" t="s">
        <v>22</v>
      </c>
      <c r="M5" s="90" t="s">
        <v>23</v>
      </c>
      <c r="N5" s="90" t="s">
        <v>24</v>
      </c>
      <c r="O5" s="103"/>
      <c r="P5" s="91"/>
      <c r="Q5" s="90">
        <v>4</v>
      </c>
      <c r="R5" s="90" t="s">
        <v>374</v>
      </c>
      <c r="S5" s="90" t="s">
        <v>32</v>
      </c>
      <c r="T5" s="90" t="s">
        <v>45</v>
      </c>
      <c r="U5" s="90" t="s">
        <v>47</v>
      </c>
      <c r="V5" s="90"/>
      <c r="W5" s="90"/>
      <c r="X5" s="90" t="s">
        <v>51</v>
      </c>
      <c r="Y5" s="90" t="s">
        <v>375</v>
      </c>
      <c r="Z5" s="90" t="s">
        <v>53</v>
      </c>
      <c r="AA5" s="90" t="s">
        <v>54</v>
      </c>
      <c r="AB5" s="90" t="s">
        <v>55</v>
      </c>
      <c r="AC5" s="90"/>
      <c r="AD5" s="90"/>
      <c r="AE5" s="90" t="s">
        <v>71</v>
      </c>
      <c r="AF5" s="90" t="s">
        <v>376</v>
      </c>
      <c r="AG5" s="90" t="s">
        <v>73</v>
      </c>
      <c r="AH5" s="90" t="s">
        <v>74</v>
      </c>
      <c r="AI5" s="103"/>
      <c r="AJ5" s="104"/>
      <c r="AM5" s="57"/>
      <c r="AN5" s="57"/>
    </row>
    <row r="6" spans="1:40" x14ac:dyDescent="0.3">
      <c r="A6" s="105"/>
      <c r="B6" s="93" t="s">
        <v>227</v>
      </c>
      <c r="C6" s="7"/>
      <c r="D6" s="6"/>
      <c r="E6" s="6"/>
      <c r="F6" s="29">
        <f>SUM(F7:F12)+SUM(F175:F180)</f>
        <v>4640676789</v>
      </c>
      <c r="G6" s="29">
        <f>SUM(G7:G12)+SUM(G175:G180)</f>
        <v>216793929</v>
      </c>
      <c r="H6" s="29">
        <f>SUM(H7:H12)+SUM(H175:H180)</f>
        <v>4857470718</v>
      </c>
      <c r="I6" s="29">
        <f>I14+I26+I30+I47+I56+I72+I86+I97+I119+I145+I149+I151</f>
        <v>192266425.6871691</v>
      </c>
      <c r="J6" s="29">
        <f>SUM(J7:J12)</f>
        <v>4529278138.5799999</v>
      </c>
      <c r="K6" s="30">
        <f>J6/$F6</f>
        <v>0.97599517150514481</v>
      </c>
      <c r="L6" s="30">
        <f t="shared" ref="L6:L12" si="0">K6-P6</f>
        <v>0</v>
      </c>
      <c r="M6" s="30">
        <f>(J6-O6)/O6</f>
        <v>0</v>
      </c>
      <c r="N6" s="29">
        <f>SUM(N7:N12)</f>
        <v>2451</v>
      </c>
      <c r="O6" s="29">
        <v>4529278138.5799999</v>
      </c>
      <c r="P6" s="30">
        <v>0.97599517150514481</v>
      </c>
      <c r="Q6" s="29">
        <f>SUM(Q7:Q12)</f>
        <v>4529278138.5799999</v>
      </c>
      <c r="R6" s="30">
        <f>Q6/F6</f>
        <v>0.97599517150514481</v>
      </c>
      <c r="S6" s="30">
        <f>R6-W6</f>
        <v>0</v>
      </c>
      <c r="T6" s="30">
        <f>(Q6-V6)/V6</f>
        <v>0</v>
      </c>
      <c r="U6" s="29">
        <f>SUM(U7:U12)</f>
        <v>2451</v>
      </c>
      <c r="V6" s="29">
        <v>4529278138.5799999</v>
      </c>
      <c r="W6" s="30">
        <v>0.97599517150514481</v>
      </c>
      <c r="X6" s="29">
        <f>SUM(X7:X12)</f>
        <v>4529278138.5799999</v>
      </c>
      <c r="Y6" s="30">
        <f t="shared" ref="Y6:Y12" si="1">X6/F6</f>
        <v>0.97599517150514481</v>
      </c>
      <c r="Z6" s="30">
        <f>Y6-AD6</f>
        <v>0</v>
      </c>
      <c r="AA6" s="30">
        <f t="shared" ref="AA6:AA12" si="2">IFERROR(((X6-AC6)/AC6),0)</f>
        <v>0</v>
      </c>
      <c r="AB6" s="29">
        <f>SUM(AB7:AB12)</f>
        <v>2451</v>
      </c>
      <c r="AC6" s="29">
        <v>4529278138.5799999</v>
      </c>
      <c r="AD6" s="30">
        <v>0.97599517150514481</v>
      </c>
      <c r="AE6" s="29">
        <f>SUM(AE7:AE12)</f>
        <v>4497693061.5600004</v>
      </c>
      <c r="AF6" s="30">
        <f>AE6/$F6</f>
        <v>0.96918903557797431</v>
      </c>
      <c r="AG6" s="30">
        <f>AF6-AJ6</f>
        <v>-7.8457681186194783E-5</v>
      </c>
      <c r="AH6" s="30">
        <f>IFERROR(((AE6-AI6)/AI6),0)</f>
        <v>-8.0945334215667936E-5</v>
      </c>
      <c r="AI6" s="29">
        <v>4498057158.3000002</v>
      </c>
      <c r="AJ6" s="30">
        <v>0.96926749325916051</v>
      </c>
      <c r="AM6" s="477">
        <v>4562973609.5100002</v>
      </c>
      <c r="AN6" s="477"/>
    </row>
    <row r="7" spans="1:40" x14ac:dyDescent="0.3">
      <c r="A7" s="105"/>
      <c r="B7" s="6" t="s">
        <v>228</v>
      </c>
      <c r="C7" s="6"/>
      <c r="D7" s="6"/>
      <c r="E7" s="6"/>
      <c r="F7" s="29">
        <f>SUMIF(D15:D172,"ESF",F15:F172)</f>
        <v>675925610</v>
      </c>
      <c r="G7" s="29">
        <f>SUMIF(D15:D172,"ESF",G15:G172)</f>
        <v>1589796</v>
      </c>
      <c r="H7" s="29">
        <f>SUMIF(D15:D172,"ESF",H15:H172)</f>
        <v>677515406</v>
      </c>
      <c r="I7" s="29">
        <f>I43+I44+I45+SUM(I87:I90)+I92+SUM(I94:I96)+SUM(I102:I118)+SUM(I120:I139)+SUM(I146:I148)+I46</f>
        <v>18276798.709648199</v>
      </c>
      <c r="J7" s="29">
        <f>SUMIF(D15:D172,"ESF",J15:J172)</f>
        <v>667741575.72000027</v>
      </c>
      <c r="K7" s="30">
        <f>J7/F7</f>
        <v>0.98789210800875005</v>
      </c>
      <c r="L7" s="30">
        <f t="shared" si="0"/>
        <v>0</v>
      </c>
      <c r="M7" s="30">
        <f>(J7-O7)/O7</f>
        <v>0</v>
      </c>
      <c r="N7" s="29">
        <f>SUMIF(D15:D172,"ESF",N15:N172)</f>
        <v>325</v>
      </c>
      <c r="O7" s="29">
        <v>667741575.72000027</v>
      </c>
      <c r="P7" s="30">
        <v>0.98789210800875005</v>
      </c>
      <c r="Q7" s="29">
        <f>SUMIF(D15:D172,"ESF",Q15:Q172)</f>
        <v>667741575.72000027</v>
      </c>
      <c r="R7" s="30">
        <f>Q7/F7</f>
        <v>0.98789210800875005</v>
      </c>
      <c r="S7" s="30">
        <f>R7-W7</f>
        <v>0</v>
      </c>
      <c r="T7" s="30">
        <f>(Q7-V7)/V7</f>
        <v>0</v>
      </c>
      <c r="U7" s="29">
        <f>SUMIF(D15:D172,"ESF",U15:U172)</f>
        <v>325</v>
      </c>
      <c r="V7" s="29">
        <v>667741575.72000027</v>
      </c>
      <c r="W7" s="30">
        <v>0.98789210800875005</v>
      </c>
      <c r="X7" s="29">
        <f>SUMIF(D15:D172,"ESF",X15:X172)</f>
        <v>667741575.72000027</v>
      </c>
      <c r="Y7" s="30">
        <f t="shared" si="1"/>
        <v>0.98789210800875005</v>
      </c>
      <c r="Z7" s="30">
        <f t="shared" ref="Z7:Z77" si="3">Y7-AD7</f>
        <v>0</v>
      </c>
      <c r="AA7" s="30">
        <f t="shared" si="2"/>
        <v>0</v>
      </c>
      <c r="AB7" s="29">
        <f>SUMIF(D15:D172,"ESF",AB15:AB172)</f>
        <v>325</v>
      </c>
      <c r="AC7" s="29">
        <v>667741575.72000027</v>
      </c>
      <c r="AD7" s="30">
        <v>0.98789210800875005</v>
      </c>
      <c r="AE7" s="29">
        <f>SUMIF(D15:D172,"ESF",AE15:AE172)</f>
        <v>667124835.28000021</v>
      </c>
      <c r="AF7" s="30">
        <f>AE7/$F7</f>
        <v>0.98697966967104589</v>
      </c>
      <c r="AG7" s="30">
        <f>AF7-AJ7</f>
        <v>0</v>
      </c>
      <c r="AH7" s="30">
        <f t="shared" ref="AH7:AH78" si="4">IFERROR(((AE7-AI7)/AI7),0)</f>
        <v>0</v>
      </c>
      <c r="AI7" s="29">
        <v>667124835.28000021</v>
      </c>
      <c r="AJ7" s="30">
        <v>0.98697966967104589</v>
      </c>
      <c r="AM7" s="477">
        <v>2538211233.6399999</v>
      </c>
      <c r="AN7" s="477">
        <f>X9+X11-AM7</f>
        <v>-19606180.03000021</v>
      </c>
    </row>
    <row r="8" spans="1:40" x14ac:dyDescent="0.3">
      <c r="A8" s="105"/>
      <c r="B8" s="18" t="s">
        <v>232</v>
      </c>
      <c r="C8" s="6"/>
      <c r="D8" s="6"/>
      <c r="E8" s="6"/>
      <c r="F8" s="29">
        <f>SUMIF(D15:D172,"JNI",F15:F172)</f>
        <v>29010639</v>
      </c>
      <c r="G8" s="29">
        <f>SUMIF(D15:D172,"JNI",G15:G172)</f>
        <v>0</v>
      </c>
      <c r="H8" s="29">
        <f>SUMIF(D15:D172,"JNI",H15:H172)</f>
        <v>29010639</v>
      </c>
      <c r="I8" s="29">
        <f>I91+I93</f>
        <v>0</v>
      </c>
      <c r="J8" s="29">
        <f>SUMIF(D15:D172,"JNI",J15:J172)</f>
        <v>28810403.620000001</v>
      </c>
      <c r="K8" s="30">
        <f>J8/F8</f>
        <v>0.99309786385608401</v>
      </c>
      <c r="L8" s="30">
        <f t="shared" si="0"/>
        <v>0</v>
      </c>
      <c r="M8" s="30">
        <f>(J8-O8)/O8</f>
        <v>0</v>
      </c>
      <c r="N8" s="29">
        <f>SUMIF(D15:D172,"JNI",N15:N172)</f>
        <v>2</v>
      </c>
      <c r="O8" s="29">
        <v>28810403.620000001</v>
      </c>
      <c r="P8" s="30">
        <v>0.99309786385608401</v>
      </c>
      <c r="Q8" s="29">
        <f>SUMIF(D15:D172,"JNI",Q15:Q172)</f>
        <v>28810403.620000001</v>
      </c>
      <c r="R8" s="30">
        <f>Q8/F8</f>
        <v>0.99309786385608401</v>
      </c>
      <c r="S8" s="30">
        <f>R8-W8</f>
        <v>0</v>
      </c>
      <c r="T8" s="30">
        <f>(Q8-V8)/V8</f>
        <v>0</v>
      </c>
      <c r="U8" s="29">
        <f>SUMIF(D15:D172,"JNI",U15:U172)</f>
        <v>2</v>
      </c>
      <c r="V8" s="29">
        <v>28810403.620000001</v>
      </c>
      <c r="W8" s="30">
        <v>0.99309786385608401</v>
      </c>
      <c r="X8" s="29">
        <f>SUMIF(D15:D172,"JNI",X15:X172)</f>
        <v>28810403.620000001</v>
      </c>
      <c r="Y8" s="30">
        <f t="shared" si="1"/>
        <v>0.99309786385608401</v>
      </c>
      <c r="Z8" s="30">
        <f t="shared" si="3"/>
        <v>0</v>
      </c>
      <c r="AA8" s="30">
        <f t="shared" si="2"/>
        <v>0</v>
      </c>
      <c r="AB8" s="29">
        <f>SUMIF(D15:D172,"JNI",AB15:AB172)</f>
        <v>2</v>
      </c>
      <c r="AC8" s="29">
        <v>28810403.620000001</v>
      </c>
      <c r="AD8" s="30">
        <v>0.99309786385608401</v>
      </c>
      <c r="AE8" s="29">
        <f>SUMIF(D15:D172,"JNI",AE15:AE172)</f>
        <v>28810403.620000001</v>
      </c>
      <c r="AF8" s="30">
        <f>AE8/$F8</f>
        <v>0.99309786385608401</v>
      </c>
      <c r="AG8" s="30">
        <f>AF8-AJ8</f>
        <v>0</v>
      </c>
      <c r="AH8" s="30">
        <f t="shared" si="4"/>
        <v>0</v>
      </c>
      <c r="AI8" s="29">
        <v>28810403.620000001</v>
      </c>
      <c r="AJ8" s="30">
        <v>0.99309786385608401</v>
      </c>
      <c r="AM8" s="57"/>
      <c r="AN8" s="57"/>
    </row>
    <row r="9" spans="1:40" x14ac:dyDescent="0.3">
      <c r="A9" s="105"/>
      <c r="B9" s="6" t="s">
        <v>229</v>
      </c>
      <c r="C9" s="6"/>
      <c r="D9" s="6"/>
      <c r="E9" s="6"/>
      <c r="F9" s="29">
        <f>SUMIF(D15:D172,"ERAF",F15:F172)</f>
        <v>2465883158</v>
      </c>
      <c r="G9" s="29">
        <f>SUMIF(D15:D172,"ERAF",G15:G172)</f>
        <v>27390925</v>
      </c>
      <c r="H9" s="29">
        <f>SUMIF(D15:D172,"ERAF",H15:H172)</f>
        <v>2493274083</v>
      </c>
      <c r="I9" s="29" t="e">
        <f>I14+I26+SUM(I31:I42)+SUM(I49:I51)+I53+I57+I58+I63++SUM(I68:I71)+I85+SUM(I98:I101)+SUM(I141:I144)+I150+I177+#REF!</f>
        <v>#REF!</v>
      </c>
      <c r="J9" s="29">
        <f>SUMIF(D15:D172,"ERAF",J15:J172)</f>
        <v>2345956204.1599998</v>
      </c>
      <c r="K9" s="30">
        <f>J9/F9</f>
        <v>0.95136551646783252</v>
      </c>
      <c r="L9" s="30">
        <f t="shared" si="0"/>
        <v>0</v>
      </c>
      <c r="M9" s="30">
        <f>(J9-O9)/O9</f>
        <v>0</v>
      </c>
      <c r="N9" s="29">
        <f>SUMIF(D15:D172,"ERAF",N15:N172)</f>
        <v>1600</v>
      </c>
      <c r="O9" s="29">
        <v>2345956204.1599998</v>
      </c>
      <c r="P9" s="30">
        <v>0.95136551646783252</v>
      </c>
      <c r="Q9" s="29">
        <f>SUMIF(D15:D172,"ERAF",Q15:Q172)</f>
        <v>2345956204.1599998</v>
      </c>
      <c r="R9" s="30">
        <f>Q9/F9</f>
        <v>0.95136551646783252</v>
      </c>
      <c r="S9" s="30">
        <f>R9-W9</f>
        <v>0</v>
      </c>
      <c r="T9" s="30">
        <f>(Q9-V9)/V9</f>
        <v>0</v>
      </c>
      <c r="U9" s="29">
        <f>SUMIF(D15:D172,"ERAF",U15:U172)</f>
        <v>1600</v>
      </c>
      <c r="V9" s="29">
        <v>2345956204.1599998</v>
      </c>
      <c r="W9" s="30">
        <v>0.95136551646783252</v>
      </c>
      <c r="X9" s="29">
        <f>SUMIF(D15:D172,"ERAF",X15:X172)</f>
        <v>2345956204.1599998</v>
      </c>
      <c r="Y9" s="30">
        <f t="shared" si="1"/>
        <v>0.95136551646783252</v>
      </c>
      <c r="Z9" s="30">
        <f t="shared" si="3"/>
        <v>0</v>
      </c>
      <c r="AA9" s="30">
        <f t="shared" si="2"/>
        <v>0</v>
      </c>
      <c r="AB9" s="29">
        <f>SUMIF(D15:D172,"ERAF",AB15:AB172)</f>
        <v>1600</v>
      </c>
      <c r="AC9" s="29">
        <v>2345956204.1599998</v>
      </c>
      <c r="AD9" s="30">
        <v>0.95136551646783252</v>
      </c>
      <c r="AE9" s="29">
        <f>SUMIF(D15:D172,"ERAF",AE15:AE172)</f>
        <v>2315245571.4000001</v>
      </c>
      <c r="AF9" s="30">
        <f>AE9/$F9</f>
        <v>0.93891130400429135</v>
      </c>
      <c r="AG9" s="30">
        <f>AF9-AJ9</f>
        <v>-1.0098111874934368E-4</v>
      </c>
      <c r="AH9" s="30">
        <f t="shared" si="4"/>
        <v>-1.0753972056505726E-4</v>
      </c>
      <c r="AI9" s="29">
        <v>2315494579.04</v>
      </c>
      <c r="AJ9" s="30">
        <v>0.93901228512304069</v>
      </c>
      <c r="AM9" s="57"/>
      <c r="AN9" s="57"/>
    </row>
    <row r="10" spans="1:40" x14ac:dyDescent="0.3">
      <c r="A10" s="105"/>
      <c r="B10" s="6" t="s">
        <v>230</v>
      </c>
      <c r="C10" s="6"/>
      <c r="D10" s="6"/>
      <c r="E10" s="6"/>
      <c r="F10" s="29">
        <f>SUMIF(D15:D172,"KF",F15:F172)</f>
        <v>1238174873</v>
      </c>
      <c r="G10" s="29">
        <f>SUMIF(D15:D172,"KF",G15:G172)</f>
        <v>195212967</v>
      </c>
      <c r="H10" s="29">
        <f>SUMIF(D15:D172,"KF",H15:H172)</f>
        <v>1433387840</v>
      </c>
      <c r="I10" s="29">
        <f>I48+I52+I54+I55+SUM(I59:I62)+I64+I65+I66+SUM(I73:I84)+I152</f>
        <v>67553262.617205307</v>
      </c>
      <c r="J10" s="29">
        <f>SUMIF(D15:D172,"KF",J15:J172)</f>
        <v>1292653271.4099998</v>
      </c>
      <c r="K10" s="30">
        <f>J10/F10</f>
        <v>1.0439989532964782</v>
      </c>
      <c r="L10" s="30">
        <f t="shared" si="0"/>
        <v>0</v>
      </c>
      <c r="M10" s="30">
        <f>(J10-O10)/O10</f>
        <v>0</v>
      </c>
      <c r="N10" s="29">
        <f>SUMIF(D15:D172,"KF",N15:N172)</f>
        <v>394</v>
      </c>
      <c r="O10" s="29">
        <v>1292653271.4099998</v>
      </c>
      <c r="P10" s="30">
        <v>1.0439989532964782</v>
      </c>
      <c r="Q10" s="29">
        <f>SUMIF(D15:D172,"KF",Q15:Q172)</f>
        <v>1292653271.4099998</v>
      </c>
      <c r="R10" s="30">
        <f>Q10/F10</f>
        <v>1.0439989532964782</v>
      </c>
      <c r="S10" s="30">
        <f>R10-W10</f>
        <v>0</v>
      </c>
      <c r="T10" s="30">
        <f>(Q10-V10)/V10</f>
        <v>0</v>
      </c>
      <c r="U10" s="29">
        <f>SUMIF(D15:D172,"KF",U15:U172)</f>
        <v>394</v>
      </c>
      <c r="V10" s="29">
        <v>1292653271.4099998</v>
      </c>
      <c r="W10" s="30">
        <v>1.0439989532964782</v>
      </c>
      <c r="X10" s="29">
        <f>SUMIF(D15:D172,"KF",X15:X172)</f>
        <v>1292653271.4099998</v>
      </c>
      <c r="Y10" s="30">
        <f t="shared" si="1"/>
        <v>1.0439989532964782</v>
      </c>
      <c r="Z10" s="30">
        <f t="shared" si="3"/>
        <v>0</v>
      </c>
      <c r="AA10" s="30">
        <f t="shared" si="2"/>
        <v>0</v>
      </c>
      <c r="AB10" s="29">
        <f>SUMIF(D15:D172,"KF",AB15:AB172)</f>
        <v>394</v>
      </c>
      <c r="AC10" s="29">
        <v>1292653271.4099998</v>
      </c>
      <c r="AD10" s="30">
        <v>1.0439989532964782</v>
      </c>
      <c r="AE10" s="29">
        <f>SUMIF(D15:D172,"KF",AE15:AE172)</f>
        <v>1295013506.5199997</v>
      </c>
      <c r="AF10" s="30">
        <f>AE10/$F10</f>
        <v>1.045905174430074</v>
      </c>
      <c r="AG10" s="30">
        <f>AF10-AJ10</f>
        <v>-9.2950602140096095E-5</v>
      </c>
      <c r="AH10" s="30">
        <f t="shared" si="4"/>
        <v>-8.8863067643910648E-5</v>
      </c>
      <c r="AI10" s="29">
        <v>1295128595.6199999</v>
      </c>
      <c r="AJ10" s="30">
        <v>1.0459981250322141</v>
      </c>
      <c r="AM10" s="57"/>
      <c r="AN10" s="57"/>
    </row>
    <row r="11" spans="1:40" x14ac:dyDescent="0.3">
      <c r="A11" s="105"/>
      <c r="B11" s="6" t="s">
        <v>1348</v>
      </c>
      <c r="C11" s="6"/>
      <c r="D11" s="6"/>
      <c r="E11" s="6"/>
      <c r="F11" s="29">
        <f>SUMIF(D15:D172,"ReactEU ERAF",F15:F172)</f>
        <v>197429858</v>
      </c>
      <c r="G11" s="29">
        <f>SUMIF(D15:D172,"ReactEU ERAF",G15:G172)</f>
        <v>1</v>
      </c>
      <c r="H11" s="29">
        <f>SUMIF(D15:D172,"ReactEU ERAF",H15:H172)</f>
        <v>197429859</v>
      </c>
      <c r="I11" s="29">
        <v>0</v>
      </c>
      <c r="J11" s="29">
        <f>SUMIF(D15:D172,"ReactEU ERAF",J15:J172)</f>
        <v>172648849.45000002</v>
      </c>
      <c r="K11" s="30">
        <f>J11/F11</f>
        <v>0.87448196133535194</v>
      </c>
      <c r="L11" s="30">
        <f t="shared" si="0"/>
        <v>0</v>
      </c>
      <c r="M11" s="30">
        <f>IFERROR((J11-O11)/O11,0)</f>
        <v>0</v>
      </c>
      <c r="N11" s="29">
        <f>SUMIF(D15:D172,"ReactEU ERAF",N15:N172)</f>
        <v>126</v>
      </c>
      <c r="O11" s="29">
        <v>172648849.45000002</v>
      </c>
      <c r="P11" s="29">
        <v>0.87448196133535194</v>
      </c>
      <c r="Q11" s="29">
        <f>SUMIF(D15:D172,"ReactEU ERAF",Q15:Q172)</f>
        <v>172648849.45000002</v>
      </c>
      <c r="R11" s="30">
        <f t="shared" ref="R11:R12" si="5">Q11/F11</f>
        <v>0.87448196133535194</v>
      </c>
      <c r="S11" s="30">
        <f t="shared" ref="S11:S12" si="6">R11-W11</f>
        <v>0</v>
      </c>
      <c r="T11" s="30">
        <f>IFERROR((Q11-V11)/V11,0)</f>
        <v>0</v>
      </c>
      <c r="U11" s="29">
        <f>SUMIF(D15:D172,"ReactEU ERAF",U15:U172)</f>
        <v>126</v>
      </c>
      <c r="V11" s="29">
        <v>172648849.45000002</v>
      </c>
      <c r="W11" s="29">
        <v>0.87448196133535194</v>
      </c>
      <c r="X11" s="29">
        <f>SUMIF(D15:D172,"ReactEU ERAF",X15:X172)</f>
        <v>172648849.45000002</v>
      </c>
      <c r="Y11" s="30">
        <f t="shared" si="1"/>
        <v>0.87448196133535194</v>
      </c>
      <c r="Z11" s="30">
        <f t="shared" ref="Z11:Z12" si="7">Y11-AD11</f>
        <v>0</v>
      </c>
      <c r="AA11" s="30">
        <f t="shared" si="2"/>
        <v>0</v>
      </c>
      <c r="AB11" s="29">
        <f>SUMIF(D15:D172,"ReactEU ERAF",AB15:AB172)</f>
        <v>126</v>
      </c>
      <c r="AC11" s="29">
        <v>172648849.45000002</v>
      </c>
      <c r="AD11" s="29">
        <v>0.87448196133535194</v>
      </c>
      <c r="AE11" s="29">
        <f>SUMIF(D15:D172,"ReactEU ERAF",AE15:AE172)</f>
        <v>170369875.22000003</v>
      </c>
      <c r="AF11" s="30">
        <f t="shared" ref="AF11:AF12" si="8">AE11/$F11</f>
        <v>0.86293875174645585</v>
      </c>
      <c r="AG11" s="30">
        <f t="shared" ref="AG11:AG12" si="9">AF11-AJ11</f>
        <v>0</v>
      </c>
      <c r="AH11" s="30">
        <f t="shared" ref="AH11:AH12" si="10">IFERROR(((AE11-AI11)/AI11),0)</f>
        <v>0</v>
      </c>
      <c r="AI11" s="29">
        <v>170369875.22000003</v>
      </c>
      <c r="AJ11" s="30">
        <v>0.86293875174645585</v>
      </c>
    </row>
    <row r="12" spans="1:40" x14ac:dyDescent="0.3">
      <c r="A12" s="105"/>
      <c r="B12" s="6" t="s">
        <v>1349</v>
      </c>
      <c r="C12" s="6"/>
      <c r="D12" s="6"/>
      <c r="E12" s="6"/>
      <c r="F12" s="29">
        <f>SUMIF(D15:D172,"ReactEU ESF",F15:F172)</f>
        <v>22489087</v>
      </c>
      <c r="G12" s="29">
        <f>SUMIF(D15:D172,"ReactEU ESF",G15:G172)</f>
        <v>0</v>
      </c>
      <c r="H12" s="29">
        <f>SUMIF(D15:D172,"ReactEU ESF",H15:H172)</f>
        <v>22489087</v>
      </c>
      <c r="I12" s="29">
        <v>0</v>
      </c>
      <c r="J12" s="29">
        <f>SUMIF(D15:D172,"ReactEU ESF",J15:J172)</f>
        <v>21467834.219999999</v>
      </c>
      <c r="K12" s="30">
        <f t="shared" ref="K12" si="11">J12/F12</f>
        <v>0.95458896219308498</v>
      </c>
      <c r="L12" s="30">
        <f t="shared" si="0"/>
        <v>0</v>
      </c>
      <c r="M12" s="30">
        <f>IFERROR((J12-O12)/O12,0)</f>
        <v>0</v>
      </c>
      <c r="N12" s="29">
        <f>SUMIF(D15:D172,"ReactEU ESF",N15:N172)</f>
        <v>4</v>
      </c>
      <c r="O12" s="29">
        <v>21467834.219999999</v>
      </c>
      <c r="P12" s="29">
        <v>0.95458896219308498</v>
      </c>
      <c r="Q12" s="29">
        <f>SUMIF(D15:D172,"ReactEU ESF",Q15:Q172)</f>
        <v>21467834.219999999</v>
      </c>
      <c r="R12" s="30">
        <f t="shared" si="5"/>
        <v>0.95458896219308498</v>
      </c>
      <c r="S12" s="30">
        <f t="shared" si="6"/>
        <v>0</v>
      </c>
      <c r="T12" s="30">
        <f>IFERROR((Q12-V12)/V12,0)</f>
        <v>0</v>
      </c>
      <c r="U12" s="29">
        <f>SUMIF(D15:D172,"ReactEU ESF",U15:U172)</f>
        <v>4</v>
      </c>
      <c r="V12" s="29">
        <v>21467834.219999999</v>
      </c>
      <c r="W12" s="29">
        <v>0.95458896219308498</v>
      </c>
      <c r="X12" s="29">
        <f>SUMIF(D15:D172,"ReactEU ESF",X15:X172)</f>
        <v>21467834.219999999</v>
      </c>
      <c r="Y12" s="30">
        <f t="shared" si="1"/>
        <v>0.95458896219308498</v>
      </c>
      <c r="Z12" s="30">
        <f t="shared" si="7"/>
        <v>0</v>
      </c>
      <c r="AA12" s="30">
        <f t="shared" si="2"/>
        <v>0</v>
      </c>
      <c r="AB12" s="29">
        <f>SUMIF(D15:D172,"ReactEU ESF",AB15:AB172)</f>
        <v>4</v>
      </c>
      <c r="AC12" s="29">
        <v>21467834.219999999</v>
      </c>
      <c r="AD12" s="29">
        <v>0.95458896219308498</v>
      </c>
      <c r="AE12" s="29">
        <f>SUMIF(D15:D172,"ReactEU ESF",AE15:AE172)</f>
        <v>21128869.52</v>
      </c>
      <c r="AF12" s="30">
        <f t="shared" si="8"/>
        <v>0.93951655396237288</v>
      </c>
      <c r="AG12" s="30">
        <f t="shared" si="9"/>
        <v>0</v>
      </c>
      <c r="AH12" s="30">
        <f t="shared" si="10"/>
        <v>0</v>
      </c>
      <c r="AI12" s="29">
        <v>21128869.52</v>
      </c>
      <c r="AJ12" s="30">
        <v>0.93951655396237288</v>
      </c>
    </row>
    <row r="13" spans="1:40" x14ac:dyDescent="0.3">
      <c r="A13" s="102"/>
      <c r="B13" s="101"/>
      <c r="C13" s="4"/>
      <c r="D13" s="8"/>
      <c r="E13" s="8"/>
      <c r="F13" s="26"/>
      <c r="G13" s="26"/>
      <c r="H13" s="26"/>
      <c r="I13" s="26"/>
      <c r="J13" s="26"/>
      <c r="K13" s="27"/>
      <c r="L13" s="27"/>
      <c r="M13" s="27"/>
      <c r="N13" s="27"/>
      <c r="O13" s="26"/>
      <c r="P13" s="27"/>
      <c r="Q13" s="26"/>
      <c r="R13" s="27"/>
      <c r="S13" s="27"/>
      <c r="T13" s="27"/>
      <c r="U13" s="27"/>
      <c r="V13" s="26"/>
      <c r="W13" s="27"/>
      <c r="X13" s="26"/>
      <c r="Y13" s="27"/>
      <c r="Z13" s="27"/>
      <c r="AA13" s="27"/>
      <c r="AB13" s="27"/>
      <c r="AC13" s="26"/>
      <c r="AD13" s="27"/>
      <c r="AE13" s="26"/>
      <c r="AF13" s="27"/>
      <c r="AG13" s="27"/>
      <c r="AH13" s="27"/>
      <c r="AI13" s="26"/>
      <c r="AJ13" s="27"/>
    </row>
    <row r="14" spans="1:40" x14ac:dyDescent="0.3">
      <c r="A14" s="21" t="s">
        <v>0</v>
      </c>
      <c r="B14" s="10" t="str">
        <f>VLOOKUP(A14,saīsinājumi_LV_ENG!A:G,5,FALSE)</f>
        <v>P&amp;A&amp;I</v>
      </c>
      <c r="C14" s="10"/>
      <c r="D14" s="10"/>
      <c r="E14" s="10"/>
      <c r="F14" s="37">
        <f>SUM(F15:F25)</f>
        <v>448221139</v>
      </c>
      <c r="G14" s="37">
        <f>SUM(G15:G25)</f>
        <v>2927032</v>
      </c>
      <c r="H14" s="37">
        <f>SUM(H15:H25)</f>
        <v>451148171</v>
      </c>
      <c r="I14" s="37">
        <f>SUM(I15:I25)</f>
        <v>13053849.871961923</v>
      </c>
      <c r="J14" s="37">
        <f>SUM(J15:J25)</f>
        <v>419952678.01000011</v>
      </c>
      <c r="K14" s="33">
        <f t="shared" ref="K14:K85" si="12">J14/F14</f>
        <v>0.93693188801164529</v>
      </c>
      <c r="L14" s="33">
        <f t="shared" ref="L14:L48" si="13">K14-P14</f>
        <v>0</v>
      </c>
      <c r="M14" s="33">
        <f>IFERROR(((J14-O14)/O14),0)</f>
        <v>0</v>
      </c>
      <c r="N14" s="37">
        <f>SUM(N15:N25)</f>
        <v>330</v>
      </c>
      <c r="O14" s="37">
        <v>419952678.01000011</v>
      </c>
      <c r="P14" s="33">
        <v>0.93693188801164529</v>
      </c>
      <c r="Q14" s="37">
        <f>SUM(Q15:Q25)</f>
        <v>419952678.01000011</v>
      </c>
      <c r="R14" s="33">
        <f t="shared" ref="R14:R21" si="14">Q14/F14</f>
        <v>0.93693188801164529</v>
      </c>
      <c r="S14" s="33">
        <f t="shared" ref="S14:S48" si="15">R14-W14</f>
        <v>0</v>
      </c>
      <c r="T14" s="33">
        <f t="shared" ref="T14:T86" si="16">IFERROR(((Q14-V14)/V14),0)</f>
        <v>0</v>
      </c>
      <c r="U14" s="37">
        <f>SUM(U15:U25)</f>
        <v>330</v>
      </c>
      <c r="V14" s="37">
        <v>419952678.01000011</v>
      </c>
      <c r="W14" s="33">
        <v>0.93693188801164529</v>
      </c>
      <c r="X14" s="37">
        <f>SUM(X15:X25)</f>
        <v>419952678.01000011</v>
      </c>
      <c r="Y14" s="33">
        <f t="shared" ref="Y14:Y21" si="17">X14/F14</f>
        <v>0.93693188801164529</v>
      </c>
      <c r="Z14" s="33">
        <f t="shared" si="3"/>
        <v>0</v>
      </c>
      <c r="AA14" s="33">
        <f t="shared" ref="AA14:AA86" si="18">IFERROR(((X14-AC14)/AC14),0)</f>
        <v>0</v>
      </c>
      <c r="AB14" s="37">
        <f>SUM(AB15:AB25)</f>
        <v>330</v>
      </c>
      <c r="AC14" s="37">
        <v>419952678.01000011</v>
      </c>
      <c r="AD14" s="33">
        <v>0.93693188801164529</v>
      </c>
      <c r="AE14" s="37">
        <f>SUM(AE15:AE25)</f>
        <v>407907128.38000005</v>
      </c>
      <c r="AF14" s="33">
        <f>IFERROR((AE14/$F14),0)</f>
        <v>0.91005776588328213</v>
      </c>
      <c r="AG14" s="33">
        <f>SUM(AG15:AG24)</f>
        <v>0</v>
      </c>
      <c r="AH14" s="33">
        <f t="shared" si="4"/>
        <v>-3.6772941184333763E-6</v>
      </c>
      <c r="AI14" s="37">
        <v>407908628.38000005</v>
      </c>
      <c r="AJ14" s="33">
        <v>0.91006111244565835</v>
      </c>
    </row>
    <row r="15" spans="1:40" ht="37.5" x14ac:dyDescent="0.3">
      <c r="A15" s="20" t="s">
        <v>239</v>
      </c>
      <c r="B15" s="12" t="str">
        <f>VLOOKUP(A15,saīsinājumi_LV_ENG!A:G,5,FALSE)</f>
        <v>Praktiskas ievirzes pētījumi</v>
      </c>
      <c r="C15" s="12"/>
      <c r="D15" s="40" t="s">
        <v>344</v>
      </c>
      <c r="E15" s="40" t="s">
        <v>348</v>
      </c>
      <c r="F15" s="35">
        <f>89853072-2524642</f>
        <v>87328430</v>
      </c>
      <c r="G15" s="35">
        <f>2524642</f>
        <v>2524642</v>
      </c>
      <c r="H15" s="35">
        <f>F15+G15</f>
        <v>89853072</v>
      </c>
      <c r="I15" s="35">
        <v>0</v>
      </c>
      <c r="J15" s="439">
        <f>IFERROR((VLOOKUP(A15,AtskaiteStatusuTabula!B:AI,10,0)),0)-AtskaiteStatusuTabula!L24</f>
        <v>86531693.079999998</v>
      </c>
      <c r="K15" s="31">
        <f t="shared" si="12"/>
        <v>0.99087654593126195</v>
      </c>
      <c r="L15" s="31">
        <f t="shared" si="13"/>
        <v>0</v>
      </c>
      <c r="M15" s="31">
        <f t="shared" ref="M15:M87" si="19">IFERROR(((J15-O15)/O15),0)</f>
        <v>0</v>
      </c>
      <c r="N15" s="439">
        <f>IFERROR((VLOOKUP(A15,AtskaiteStatusuTabula!B:AI,17,0)),0)-N158</f>
        <v>201</v>
      </c>
      <c r="O15" s="35">
        <v>86531693.079999998</v>
      </c>
      <c r="P15" s="31">
        <v>0.99087654593126195</v>
      </c>
      <c r="Q15" s="439">
        <f>IFERROR((VLOOKUP(A15,AtskaiteStatusuTabula!B:AI,18,0)),0)-AtskaiteStatusuTabula!T24</f>
        <v>86531693.079999998</v>
      </c>
      <c r="R15" s="31">
        <f>Q15/F15</f>
        <v>0.99087654593126195</v>
      </c>
      <c r="S15" s="31">
        <f t="shared" si="15"/>
        <v>0</v>
      </c>
      <c r="T15" s="31">
        <f t="shared" si="16"/>
        <v>0</v>
      </c>
      <c r="U15" s="439">
        <f>IFERROR((VLOOKUP(A15,AtskaiteStatusuTabula!B:AI,23,0)),0)-U158</f>
        <v>201</v>
      </c>
      <c r="V15" s="35">
        <v>86531693.079999998</v>
      </c>
      <c r="W15" s="31">
        <v>0.99087654593126195</v>
      </c>
      <c r="X15" s="439">
        <f>IFERROR((VLOOKUP(A15,AtskaiteStatusuTabula!B:AI,24,0)),0)-AtskaiteStatusuTabula!Z24</f>
        <v>86531693.079999998</v>
      </c>
      <c r="Y15" s="31">
        <f t="shared" si="17"/>
        <v>0.99087654593126195</v>
      </c>
      <c r="Z15" s="31">
        <f t="shared" si="3"/>
        <v>0</v>
      </c>
      <c r="AA15" s="31">
        <f t="shared" si="18"/>
        <v>0</v>
      </c>
      <c r="AB15" s="439">
        <f>IFERROR((VLOOKUP(A15,AtskaiteStatusuTabula!B:AI,30,0)),0)-AB158</f>
        <v>201</v>
      </c>
      <c r="AC15" s="35">
        <v>86531693.079999998</v>
      </c>
      <c r="AD15" s="31">
        <v>0.99087654593126195</v>
      </c>
      <c r="AE15" s="439">
        <f>IFERROR((VLOOKUP(A15,AtskaiteStatusuTabula!B:AI,31,0)),0)-AtskaiteStatusuTabula!AG24</f>
        <v>85668926.370000005</v>
      </c>
      <c r="AF15" s="31">
        <f>IFERROR((AE15/$F15),0)</f>
        <v>0.98099698311305961</v>
      </c>
      <c r="AG15" s="31">
        <f t="shared" ref="AG15:AG49" si="20">AF15-AJ15</f>
        <v>0</v>
      </c>
      <c r="AH15" s="31">
        <f t="shared" si="4"/>
        <v>0</v>
      </c>
      <c r="AI15" s="35">
        <v>85668926.370000005</v>
      </c>
      <c r="AJ15" s="31">
        <v>0.98099698311305961</v>
      </c>
      <c r="AL15" s="57">
        <f>IF(X15&gt;(F15+G15),F15+G15-X15,0)</f>
        <v>0</v>
      </c>
    </row>
    <row r="16" spans="1:40" ht="37.5" x14ac:dyDescent="0.3">
      <c r="A16" s="20" t="s">
        <v>240</v>
      </c>
      <c r="B16" s="12" t="str">
        <f>VLOOKUP(A16,saīsinājumi_LV_ENG!A:G,5,FALSE)</f>
        <v>Pēcdoktorantūras pētniecība</v>
      </c>
      <c r="C16" s="12"/>
      <c r="D16" s="40" t="s">
        <v>344</v>
      </c>
      <c r="E16" s="40" t="s">
        <v>348</v>
      </c>
      <c r="F16" s="35">
        <v>39898294</v>
      </c>
      <c r="G16" s="35">
        <v>0</v>
      </c>
      <c r="H16" s="35">
        <f t="shared" ref="H16:H25" si="21">F16+G16</f>
        <v>39898294</v>
      </c>
      <c r="I16" s="35">
        <v>0</v>
      </c>
      <c r="J16" s="35">
        <f>IFERROR((VLOOKUP(A16,AtskaiteStatusuTabula!B:AI,10,0)),0)</f>
        <v>38000134.719999999</v>
      </c>
      <c r="K16" s="31">
        <f t="shared" si="12"/>
        <v>0.95242505155734225</v>
      </c>
      <c r="L16" s="31">
        <f t="shared" si="13"/>
        <v>0</v>
      </c>
      <c r="M16" s="31">
        <f t="shared" si="19"/>
        <v>0</v>
      </c>
      <c r="N16" s="35">
        <f>IFERROR((VLOOKUP(A16,AtskaiteStatusuTabula!B:AI,17,0)),0)</f>
        <v>1</v>
      </c>
      <c r="O16" s="35">
        <v>38000134.719999999</v>
      </c>
      <c r="P16" s="31">
        <v>0.95242505155734225</v>
      </c>
      <c r="Q16" s="35">
        <f>IFERROR((VLOOKUP(A16,AtskaiteStatusuTabula!B:AI,18,0)),0)</f>
        <v>38000134.719999999</v>
      </c>
      <c r="R16" s="31">
        <f t="shared" si="14"/>
        <v>0.95242505155734225</v>
      </c>
      <c r="S16" s="31">
        <f t="shared" si="15"/>
        <v>0</v>
      </c>
      <c r="T16" s="31">
        <f t="shared" si="16"/>
        <v>0</v>
      </c>
      <c r="U16" s="35">
        <f>IFERROR((VLOOKUP(A16,AtskaiteStatusuTabula!B:AI,23,0)),0)</f>
        <v>1</v>
      </c>
      <c r="V16" s="35">
        <v>38000134.719999999</v>
      </c>
      <c r="W16" s="31">
        <v>0.95242505155734225</v>
      </c>
      <c r="X16" s="35">
        <f>IFERROR((VLOOKUP(A16,AtskaiteStatusuTabula!B:AI,24,0)),0)</f>
        <v>38000134.719999999</v>
      </c>
      <c r="Y16" s="31">
        <f t="shared" si="17"/>
        <v>0.95242505155734225</v>
      </c>
      <c r="Z16" s="31">
        <f t="shared" si="3"/>
        <v>0</v>
      </c>
      <c r="AA16" s="31">
        <f t="shared" si="18"/>
        <v>0</v>
      </c>
      <c r="AB16" s="35">
        <f>IFERROR((VLOOKUP(A16,AtskaiteStatusuTabula!B:AI,30,0)),0)</f>
        <v>1</v>
      </c>
      <c r="AC16" s="35">
        <v>38000134.719999999</v>
      </c>
      <c r="AD16" s="31">
        <v>0.95242505155734225</v>
      </c>
      <c r="AE16" s="35">
        <f>IFERROR((VLOOKUP(A16,AtskaiteStatusuTabula!B:AI,31,0)),0)</f>
        <v>38000134.719999999</v>
      </c>
      <c r="AF16" s="31">
        <f t="shared" ref="AF16:AF86" si="22">IFERROR((AE16/$F16),0)</f>
        <v>0.95242505155734225</v>
      </c>
      <c r="AG16" s="31">
        <f t="shared" si="20"/>
        <v>0</v>
      </c>
      <c r="AH16" s="31">
        <f t="shared" si="4"/>
        <v>0</v>
      </c>
      <c r="AI16" s="35">
        <v>38000134.719999999</v>
      </c>
      <c r="AJ16" s="31">
        <v>0.95242505155734225</v>
      </c>
      <c r="AL16" s="57">
        <f t="shared" ref="AL16:AL77" si="23">IF(X16&gt;(F16+G16),F16+G16-X16,0)</f>
        <v>0</v>
      </c>
    </row>
    <row r="17" spans="1:38" ht="37.5" x14ac:dyDescent="0.3">
      <c r="A17" s="20" t="s">
        <v>241</v>
      </c>
      <c r="B17" s="12" t="str">
        <f>VLOOKUP(A17,saīsinājumi_LV_ENG!A:G,5,FALSE)</f>
        <v>Inovāciju granti studentiem</v>
      </c>
      <c r="C17" s="12"/>
      <c r="D17" s="40" t="s">
        <v>344</v>
      </c>
      <c r="E17" s="40" t="s">
        <v>348</v>
      </c>
      <c r="F17" s="35">
        <v>15370399</v>
      </c>
      <c r="G17" s="35">
        <v>0</v>
      </c>
      <c r="H17" s="35">
        <f t="shared" si="21"/>
        <v>15370399</v>
      </c>
      <c r="I17" s="35">
        <v>0</v>
      </c>
      <c r="J17" s="35">
        <f>IFERROR((VLOOKUP(A17,AtskaiteStatusuTabula!B:AI,10,0)),0)</f>
        <v>11654365.91</v>
      </c>
      <c r="K17" s="31">
        <f t="shared" si="12"/>
        <v>0.75823444205970192</v>
      </c>
      <c r="L17" s="31">
        <f t="shared" si="13"/>
        <v>0</v>
      </c>
      <c r="M17" s="31">
        <f t="shared" si="19"/>
        <v>0</v>
      </c>
      <c r="N17" s="35">
        <f>IFERROR((VLOOKUP(A17,AtskaiteStatusuTabula!B:AI,17,0)),0)</f>
        <v>11</v>
      </c>
      <c r="O17" s="35">
        <v>11654365.91</v>
      </c>
      <c r="P17" s="31">
        <v>0.75823444205970192</v>
      </c>
      <c r="Q17" s="35">
        <f>IFERROR((VLOOKUP(A17,AtskaiteStatusuTabula!B:AI,18,0)),0)</f>
        <v>11654365.91</v>
      </c>
      <c r="R17" s="31">
        <f t="shared" si="14"/>
        <v>0.75823444205970192</v>
      </c>
      <c r="S17" s="31">
        <f t="shared" si="15"/>
        <v>0</v>
      </c>
      <c r="T17" s="31">
        <f t="shared" si="16"/>
        <v>0</v>
      </c>
      <c r="U17" s="35">
        <f>IFERROR((VLOOKUP(A17,AtskaiteStatusuTabula!B:AI,23,0)),0)</f>
        <v>11</v>
      </c>
      <c r="V17" s="35">
        <v>11654365.91</v>
      </c>
      <c r="W17" s="31">
        <v>0.75823444205970192</v>
      </c>
      <c r="X17" s="35">
        <f>IFERROR((VLOOKUP(A17,AtskaiteStatusuTabula!B:AI,24,0)),0)</f>
        <v>11654365.91</v>
      </c>
      <c r="Y17" s="31">
        <f t="shared" si="17"/>
        <v>0.75823444205970192</v>
      </c>
      <c r="Z17" s="31">
        <f t="shared" si="3"/>
        <v>0</v>
      </c>
      <c r="AA17" s="31">
        <f t="shared" si="18"/>
        <v>0</v>
      </c>
      <c r="AB17" s="35">
        <f>IFERROR((VLOOKUP(A17,AtskaiteStatusuTabula!B:AI,30,0)),0)</f>
        <v>11</v>
      </c>
      <c r="AC17" s="35">
        <v>11654365.91</v>
      </c>
      <c r="AD17" s="31">
        <v>0.75823444205970192</v>
      </c>
      <c r="AE17" s="35">
        <f>IFERROR((VLOOKUP(A17,AtskaiteStatusuTabula!B:AI,31,0)),0)</f>
        <v>10860993.67</v>
      </c>
      <c r="AF17" s="31">
        <f t="shared" si="22"/>
        <v>0.70661754909550489</v>
      </c>
      <c r="AG17" s="31">
        <f t="shared" si="20"/>
        <v>0</v>
      </c>
      <c r="AH17" s="31">
        <f t="shared" si="4"/>
        <v>0</v>
      </c>
      <c r="AI17" s="35">
        <v>10860993.67</v>
      </c>
      <c r="AJ17" s="31">
        <v>0.70661754909550489</v>
      </c>
      <c r="AL17" s="57">
        <f t="shared" si="23"/>
        <v>0</v>
      </c>
    </row>
    <row r="18" spans="1:38" x14ac:dyDescent="0.3">
      <c r="A18" s="20" t="s">
        <v>242</v>
      </c>
      <c r="B18" s="12" t="str">
        <f>VLOOKUP(A18,saīsinājumi_LV_ENG!A:G,5,FALSE)</f>
        <v>P&amp;A infrastruktūra</v>
      </c>
      <c r="C18" s="12"/>
      <c r="D18" s="40" t="s">
        <v>344</v>
      </c>
      <c r="E18" s="40" t="s">
        <v>348</v>
      </c>
      <c r="F18" s="35">
        <v>111692482</v>
      </c>
      <c r="G18" s="35">
        <v>0</v>
      </c>
      <c r="H18" s="35">
        <f t="shared" si="21"/>
        <v>111692482</v>
      </c>
      <c r="I18" s="35">
        <v>0</v>
      </c>
      <c r="J18" s="35">
        <f>IFERROR((VLOOKUP(A18,AtskaiteStatusuTabula!B:AI,10,0)),0)</f>
        <v>111452668.62</v>
      </c>
      <c r="K18" s="31">
        <f t="shared" si="12"/>
        <v>0.99785291386039754</v>
      </c>
      <c r="L18" s="31">
        <f t="shared" si="13"/>
        <v>0</v>
      </c>
      <c r="M18" s="31">
        <f>IFERROR(((J18-O18)/O18),0)</f>
        <v>0</v>
      </c>
      <c r="N18" s="35">
        <f>IFERROR((VLOOKUP(A18,AtskaiteStatusuTabula!B:AI,17,0)),0)</f>
        <v>14</v>
      </c>
      <c r="O18" s="35">
        <v>111452668.62</v>
      </c>
      <c r="P18" s="31">
        <v>0.99785291386039754</v>
      </c>
      <c r="Q18" s="35">
        <f>IFERROR((VLOOKUP(A18,AtskaiteStatusuTabula!B:AI,18,0)),0)</f>
        <v>111452668.62</v>
      </c>
      <c r="R18" s="31">
        <f t="shared" si="14"/>
        <v>0.99785291386039754</v>
      </c>
      <c r="S18" s="31">
        <f t="shared" si="15"/>
        <v>0</v>
      </c>
      <c r="T18" s="31">
        <f t="shared" si="16"/>
        <v>0</v>
      </c>
      <c r="U18" s="35">
        <f>IFERROR((VLOOKUP(A18,AtskaiteStatusuTabula!B:AI,23,0)),0)</f>
        <v>14</v>
      </c>
      <c r="V18" s="35">
        <v>111452668.62</v>
      </c>
      <c r="W18" s="31">
        <v>0.99785291386039754</v>
      </c>
      <c r="X18" s="35">
        <f>IFERROR((VLOOKUP(A18,AtskaiteStatusuTabula!B:AI,24,0)),0)</f>
        <v>111452668.62</v>
      </c>
      <c r="Y18" s="31">
        <f t="shared" si="17"/>
        <v>0.99785291386039754</v>
      </c>
      <c r="Z18" s="31">
        <f t="shared" si="3"/>
        <v>0</v>
      </c>
      <c r="AA18" s="31">
        <f t="shared" si="18"/>
        <v>0</v>
      </c>
      <c r="AB18" s="35">
        <f>IFERROR((VLOOKUP(A18,AtskaiteStatusuTabula!B:AI,30,0)),0)</f>
        <v>14</v>
      </c>
      <c r="AC18" s="35">
        <v>111452668.62</v>
      </c>
      <c r="AD18" s="31">
        <v>0.99785291386039754</v>
      </c>
      <c r="AE18" s="35">
        <f>IFERROR((VLOOKUP(A18,AtskaiteStatusuTabula!B:AI,31,0)),0)</f>
        <v>109826066.93000001</v>
      </c>
      <c r="AF18" s="31">
        <f t="shared" si="22"/>
        <v>0.98328969831649016</v>
      </c>
      <c r="AG18" s="31">
        <f t="shared" si="20"/>
        <v>0</v>
      </c>
      <c r="AH18" s="31">
        <f t="shared" si="4"/>
        <v>0</v>
      </c>
      <c r="AI18" s="35">
        <v>109826066.93000001</v>
      </c>
      <c r="AJ18" s="31">
        <v>0.98328969831649016</v>
      </c>
      <c r="AL18" s="57">
        <f t="shared" si="23"/>
        <v>0</v>
      </c>
    </row>
    <row r="19" spans="1:38" ht="37.5" x14ac:dyDescent="0.3">
      <c r="A19" s="20" t="s">
        <v>243</v>
      </c>
      <c r="B19" s="12" t="str">
        <f>VLOOKUP(A19,saīsinājumi_LV_ENG!A:G,5,FALSE)</f>
        <v>Starptautiskā sadarbība P&amp;I</v>
      </c>
      <c r="C19" s="12"/>
      <c r="D19" s="40" t="s">
        <v>344</v>
      </c>
      <c r="E19" s="40" t="s">
        <v>348</v>
      </c>
      <c r="F19" s="35">
        <v>30675928</v>
      </c>
      <c r="G19" s="35">
        <v>402390</v>
      </c>
      <c r="H19" s="35">
        <f t="shared" si="21"/>
        <v>31078318</v>
      </c>
      <c r="I19" s="35">
        <v>0</v>
      </c>
      <c r="J19" s="35">
        <f>IFERROR((VLOOKUP(A19,AtskaiteStatusuTabula!B:AI,10,0)),0)</f>
        <v>27624703.48</v>
      </c>
      <c r="K19" s="31">
        <f t="shared" si="12"/>
        <v>0.90053358711756004</v>
      </c>
      <c r="L19" s="31">
        <f t="shared" si="13"/>
        <v>0</v>
      </c>
      <c r="M19" s="31">
        <f t="shared" si="19"/>
        <v>0</v>
      </c>
      <c r="N19" s="35">
        <f>IFERROR((VLOOKUP(A19,AtskaiteStatusuTabula!B:AI,17,0)),0)</f>
        <v>33</v>
      </c>
      <c r="O19" s="35">
        <v>27624703.48</v>
      </c>
      <c r="P19" s="31">
        <v>0.90053358711756004</v>
      </c>
      <c r="Q19" s="35">
        <f>IFERROR((VLOOKUP(A19,AtskaiteStatusuTabula!B:AI,18,0)),0)</f>
        <v>27624703.48</v>
      </c>
      <c r="R19" s="31">
        <f t="shared" si="14"/>
        <v>0.90053358711756004</v>
      </c>
      <c r="S19" s="31">
        <f t="shared" si="15"/>
        <v>0</v>
      </c>
      <c r="T19" s="31">
        <f t="shared" si="16"/>
        <v>0</v>
      </c>
      <c r="U19" s="35">
        <f>IFERROR((VLOOKUP(A19,AtskaiteStatusuTabula!B:AI,23,0)),0)</f>
        <v>33</v>
      </c>
      <c r="V19" s="35">
        <v>27624703.48</v>
      </c>
      <c r="W19" s="31">
        <v>0.90053358711756004</v>
      </c>
      <c r="X19" s="35">
        <f>IFERROR((VLOOKUP(A19,AtskaiteStatusuTabula!B:AI,24,0)),0)</f>
        <v>27624703.48</v>
      </c>
      <c r="Y19" s="31">
        <f t="shared" si="17"/>
        <v>0.90053358711756004</v>
      </c>
      <c r="Z19" s="31">
        <f t="shared" si="3"/>
        <v>0</v>
      </c>
      <c r="AA19" s="31">
        <f t="shared" si="18"/>
        <v>0</v>
      </c>
      <c r="AB19" s="35">
        <f>IFERROR((VLOOKUP(A19,AtskaiteStatusuTabula!B:AI,30,0)),0)</f>
        <v>33</v>
      </c>
      <c r="AC19" s="35">
        <v>27624703.48</v>
      </c>
      <c r="AD19" s="31">
        <v>0.90053358711756004</v>
      </c>
      <c r="AE19" s="35">
        <f>IFERROR((VLOOKUP(A19,AtskaiteStatusuTabula!B:AI,31,0)),0)</f>
        <v>27563554.23</v>
      </c>
      <c r="AF19" s="31">
        <f t="shared" si="22"/>
        <v>0.89854019184032508</v>
      </c>
      <c r="AG19" s="31">
        <f t="shared" si="20"/>
        <v>0</v>
      </c>
      <c r="AH19" s="31">
        <f t="shared" si="4"/>
        <v>0</v>
      </c>
      <c r="AI19" s="35">
        <v>27563554.23</v>
      </c>
      <c r="AJ19" s="31">
        <v>0.89854019184032508</v>
      </c>
      <c r="AL19" s="57">
        <f t="shared" si="23"/>
        <v>0</v>
      </c>
    </row>
    <row r="20" spans="1:38" x14ac:dyDescent="0.3">
      <c r="A20" s="20" t="s">
        <v>244</v>
      </c>
      <c r="B20" s="12" t="str">
        <f>VLOOKUP(A20,saīsinājumi_LV_ENG!A:G,5,FALSE)</f>
        <v>Kompetences centri</v>
      </c>
      <c r="C20" s="12"/>
      <c r="D20" s="40" t="s">
        <v>344</v>
      </c>
      <c r="E20" s="40" t="s">
        <v>349</v>
      </c>
      <c r="F20" s="35">
        <v>63150605</v>
      </c>
      <c r="G20" s="35">
        <v>0</v>
      </c>
      <c r="H20" s="35">
        <f t="shared" si="21"/>
        <v>63150605</v>
      </c>
      <c r="I20" s="35">
        <v>0</v>
      </c>
      <c r="J20" s="35">
        <f>IFERROR((VLOOKUP(A20,AtskaiteStatusuTabula!B:AI,10,0)),0)</f>
        <v>62365526.159999996</v>
      </c>
      <c r="K20" s="31">
        <f t="shared" si="12"/>
        <v>0.98756815013886246</v>
      </c>
      <c r="L20" s="31">
        <f t="shared" si="13"/>
        <v>0</v>
      </c>
      <c r="M20" s="31">
        <f t="shared" si="19"/>
        <v>0</v>
      </c>
      <c r="N20" s="35">
        <f>IFERROR((VLOOKUP(A20,AtskaiteStatusuTabula!B:AI,17,0)),0)</f>
        <v>17</v>
      </c>
      <c r="O20" s="35">
        <v>62365526.159999996</v>
      </c>
      <c r="P20" s="31">
        <v>0.98756815013886246</v>
      </c>
      <c r="Q20" s="35">
        <f>IFERROR((VLOOKUP(A20,AtskaiteStatusuTabula!B:AI,18,0)),0)</f>
        <v>62365526.159999996</v>
      </c>
      <c r="R20" s="31">
        <f t="shared" si="14"/>
        <v>0.98756815013886246</v>
      </c>
      <c r="S20" s="31">
        <f t="shared" si="15"/>
        <v>0</v>
      </c>
      <c r="T20" s="31">
        <f t="shared" si="16"/>
        <v>0</v>
      </c>
      <c r="U20" s="35">
        <f>IFERROR((VLOOKUP(A20,AtskaiteStatusuTabula!B:AI,23,0)),0)</f>
        <v>17</v>
      </c>
      <c r="V20" s="35">
        <v>62365526.159999996</v>
      </c>
      <c r="W20" s="31">
        <v>0.98756815013886246</v>
      </c>
      <c r="X20" s="35">
        <f>IFERROR((VLOOKUP(A20,AtskaiteStatusuTabula!B:AI,24,0)),0)</f>
        <v>62365526.159999996</v>
      </c>
      <c r="Y20" s="31">
        <f t="shared" si="17"/>
        <v>0.98756815013886246</v>
      </c>
      <c r="Z20" s="31">
        <f t="shared" si="3"/>
        <v>0</v>
      </c>
      <c r="AA20" s="31">
        <f t="shared" si="18"/>
        <v>0</v>
      </c>
      <c r="AB20" s="35">
        <f>IFERROR((VLOOKUP(A20,AtskaiteStatusuTabula!B:AI,30,0)),0)</f>
        <v>17</v>
      </c>
      <c r="AC20" s="35">
        <v>62365526.159999996</v>
      </c>
      <c r="AD20" s="31">
        <v>0.98756815013886246</v>
      </c>
      <c r="AE20" s="35">
        <f>IFERROR((VLOOKUP(A20,AtskaiteStatusuTabula!B:AI,31,0)),0)</f>
        <v>55386298.799999997</v>
      </c>
      <c r="AF20" s="31">
        <f t="shared" si="22"/>
        <v>0.87705096095278889</v>
      </c>
      <c r="AG20" s="31">
        <f t="shared" si="20"/>
        <v>0</v>
      </c>
      <c r="AH20" s="31">
        <f t="shared" si="4"/>
        <v>0</v>
      </c>
      <c r="AI20" s="35">
        <v>55386298.799999997</v>
      </c>
      <c r="AJ20" s="31">
        <v>0.87705096095278889</v>
      </c>
      <c r="AL20" s="57">
        <f t="shared" si="23"/>
        <v>0</v>
      </c>
    </row>
    <row r="21" spans="1:38" ht="37.5" x14ac:dyDescent="0.3">
      <c r="A21" s="20" t="s">
        <v>245</v>
      </c>
      <c r="B21" s="12" t="str">
        <f>VLOOKUP(A21,saīsinājumi_LV_ENG!A:G,5,FALSE)</f>
        <v>Tehnoloģiju pārneses sistēma</v>
      </c>
      <c r="C21" s="12"/>
      <c r="D21" s="40" t="s">
        <v>344</v>
      </c>
      <c r="E21" s="40" t="s">
        <v>349</v>
      </c>
      <c r="F21" s="35">
        <v>30779847</v>
      </c>
      <c r="G21" s="35">
        <v>0</v>
      </c>
      <c r="H21" s="35">
        <f>F21+G21</f>
        <v>30779847</v>
      </c>
      <c r="I21" s="35">
        <v>12761000</v>
      </c>
      <c r="J21" s="35">
        <f>IFERROR((VLOOKUP(A21,AtskaiteStatusuTabula!B:AI,10,0)),0)</f>
        <v>25069741.940000001</v>
      </c>
      <c r="K21" s="31">
        <f t="shared" si="12"/>
        <v>0.81448559312201918</v>
      </c>
      <c r="L21" s="31">
        <f t="shared" si="13"/>
        <v>0</v>
      </c>
      <c r="M21" s="31">
        <f t="shared" si="19"/>
        <v>0</v>
      </c>
      <c r="N21" s="35">
        <f>IFERROR((VLOOKUP(A21,AtskaiteStatusuTabula!B:AI,17,0)),0)</f>
        <v>1</v>
      </c>
      <c r="O21" s="35">
        <v>25069741.940000001</v>
      </c>
      <c r="P21" s="31">
        <v>0.81448559312201918</v>
      </c>
      <c r="Q21" s="35">
        <f>IFERROR((VLOOKUP(A21,AtskaiteStatusuTabula!B:AI,18,0)),0)</f>
        <v>25069741.940000001</v>
      </c>
      <c r="R21" s="31">
        <f t="shared" si="14"/>
        <v>0.81448559312201918</v>
      </c>
      <c r="S21" s="31">
        <f t="shared" si="15"/>
        <v>0</v>
      </c>
      <c r="T21" s="31">
        <f t="shared" si="16"/>
        <v>0</v>
      </c>
      <c r="U21" s="35">
        <f>IFERROR((VLOOKUP(A21,AtskaiteStatusuTabula!B:AI,23,0)),0)</f>
        <v>1</v>
      </c>
      <c r="V21" s="35">
        <v>25069741.940000001</v>
      </c>
      <c r="W21" s="31">
        <v>0.81448559312201918</v>
      </c>
      <c r="X21" s="35">
        <f>IFERROR((VLOOKUP(A21,AtskaiteStatusuTabula!B:AI,24,0)),0)</f>
        <v>25069741.940000001</v>
      </c>
      <c r="Y21" s="31">
        <f t="shared" si="17"/>
        <v>0.81448559312201918</v>
      </c>
      <c r="Z21" s="31">
        <f t="shared" si="3"/>
        <v>0</v>
      </c>
      <c r="AA21" s="31">
        <f t="shared" si="18"/>
        <v>0</v>
      </c>
      <c r="AB21" s="35">
        <f>IFERROR((VLOOKUP(A21,AtskaiteStatusuTabula!B:AI,30,0)),0)</f>
        <v>1</v>
      </c>
      <c r="AC21" s="35">
        <v>25069741.940000001</v>
      </c>
      <c r="AD21" s="31">
        <v>0.81448559312201918</v>
      </c>
      <c r="AE21" s="35">
        <f>IFERROR((VLOOKUP(A21,AtskaiteStatusuTabula!B:AI,31,0)),0)</f>
        <v>25069741.940000001</v>
      </c>
      <c r="AF21" s="31">
        <f t="shared" si="22"/>
        <v>0.81448559312201918</v>
      </c>
      <c r="AG21" s="31">
        <f t="shared" si="20"/>
        <v>0</v>
      </c>
      <c r="AH21" s="31">
        <f t="shared" si="4"/>
        <v>0</v>
      </c>
      <c r="AI21" s="35">
        <v>25069741.940000001</v>
      </c>
      <c r="AJ21" s="31">
        <v>0.81448559312201918</v>
      </c>
      <c r="AL21" s="57">
        <f t="shared" si="23"/>
        <v>0</v>
      </c>
    </row>
    <row r="22" spans="1:38" x14ac:dyDescent="0.3">
      <c r="A22" s="20" t="s">
        <v>246</v>
      </c>
      <c r="B22" s="12" t="str">
        <f>VLOOKUP(A22,saīsinājumi_LV_ENG!A:G,5,FALSE)</f>
        <v xml:space="preserve">Jaunu produktu ieviešana </v>
      </c>
      <c r="C22" s="12"/>
      <c r="D22" s="40" t="s">
        <v>344</v>
      </c>
      <c r="E22" s="40" t="s">
        <v>349</v>
      </c>
      <c r="F22" s="35">
        <v>45129876</v>
      </c>
      <c r="G22" s="35">
        <v>0</v>
      </c>
      <c r="H22" s="35">
        <f t="shared" si="21"/>
        <v>45129876</v>
      </c>
      <c r="I22" s="35">
        <v>0</v>
      </c>
      <c r="J22" s="35">
        <f>IFERROR((VLOOKUP(A22,AtskaiteStatusuTabula!B:AI,10,0)),0)</f>
        <v>37454815.280000001</v>
      </c>
      <c r="K22" s="31">
        <f t="shared" si="12"/>
        <v>0.82993392846902569</v>
      </c>
      <c r="L22" s="31">
        <f>K22-P22</f>
        <v>0</v>
      </c>
      <c r="M22" s="31">
        <f>IFERROR(((J22-O22)/O22),0)</f>
        <v>0</v>
      </c>
      <c r="N22" s="35">
        <f>IFERROR((VLOOKUP(A22,AtskaiteStatusuTabula!B:AI,17,0)),0)</f>
        <v>33</v>
      </c>
      <c r="O22" s="35">
        <v>37454815.280000001</v>
      </c>
      <c r="P22" s="31">
        <v>0.82993392846902569</v>
      </c>
      <c r="Q22" s="35">
        <f>IFERROR((VLOOKUP(A22,AtskaiteStatusuTabula!B:AI,18,0)),0)</f>
        <v>37454815.280000001</v>
      </c>
      <c r="R22" s="31">
        <f>Q22/F22</f>
        <v>0.82993392846902569</v>
      </c>
      <c r="S22" s="31">
        <f t="shared" si="15"/>
        <v>0</v>
      </c>
      <c r="T22" s="31">
        <f t="shared" si="16"/>
        <v>0</v>
      </c>
      <c r="U22" s="35">
        <f>IFERROR((VLOOKUP(A22,AtskaiteStatusuTabula!B:AI,23,0)),0)</f>
        <v>33</v>
      </c>
      <c r="V22" s="35">
        <v>37454815.280000001</v>
      </c>
      <c r="W22" s="31">
        <v>0.82993392846902569</v>
      </c>
      <c r="X22" s="35">
        <f>IFERROR((VLOOKUP(A22,AtskaiteStatusuTabula!B:AI,24,0)),0)</f>
        <v>37454815.280000001</v>
      </c>
      <c r="Y22" s="31">
        <f>X22/F22</f>
        <v>0.82993392846902569</v>
      </c>
      <c r="Z22" s="31">
        <f t="shared" si="3"/>
        <v>0</v>
      </c>
      <c r="AA22" s="31">
        <f t="shared" si="18"/>
        <v>0</v>
      </c>
      <c r="AB22" s="35">
        <f>IFERROR((VLOOKUP(A22,AtskaiteStatusuTabula!B:AI,30,0)),0)</f>
        <v>33</v>
      </c>
      <c r="AC22" s="35">
        <v>37454815.280000001</v>
      </c>
      <c r="AD22" s="31">
        <v>0.82993392846902569</v>
      </c>
      <c r="AE22" s="35">
        <f>IFERROR((VLOOKUP(A22,AtskaiteStatusuTabula!B:AI,31,0)),0)</f>
        <v>37228874.539999999</v>
      </c>
      <c r="AF22" s="31">
        <f t="shared" si="22"/>
        <v>0.82492747243533304</v>
      </c>
      <c r="AG22" s="31">
        <f t="shared" si="20"/>
        <v>0</v>
      </c>
      <c r="AH22" s="31">
        <f t="shared" si="4"/>
        <v>0</v>
      </c>
      <c r="AI22" s="35">
        <v>37228874.539999999</v>
      </c>
      <c r="AJ22" s="31">
        <v>0.82492747243533304</v>
      </c>
      <c r="AL22" s="57">
        <f t="shared" si="23"/>
        <v>0</v>
      </c>
    </row>
    <row r="23" spans="1:38" x14ac:dyDescent="0.3">
      <c r="A23" s="20" t="s">
        <v>247</v>
      </c>
      <c r="B23" s="12" t="str">
        <f>VLOOKUP(A23,saīsinājumi_LV_ENG!A:G,5,FALSE)</f>
        <v>Nodarbināto apmācības</v>
      </c>
      <c r="C23" s="11"/>
      <c r="D23" s="40" t="s">
        <v>344</v>
      </c>
      <c r="E23" s="40" t="s">
        <v>349</v>
      </c>
      <c r="F23" s="35">
        <v>14735844</v>
      </c>
      <c r="G23" s="35">
        <v>0</v>
      </c>
      <c r="H23" s="35">
        <f t="shared" si="21"/>
        <v>14735844</v>
      </c>
      <c r="I23" s="35">
        <v>0</v>
      </c>
      <c r="J23" s="439">
        <f>IFERROR((VLOOKUP(A23,AtskaiteStatusuTabula!B:AI,10,0)),0)-AtskaiteStatusuTabula!L35</f>
        <v>10450395.23</v>
      </c>
      <c r="K23" s="31">
        <f t="shared" si="12"/>
        <v>0.70918199391904535</v>
      </c>
      <c r="L23" s="31">
        <f t="shared" si="13"/>
        <v>0</v>
      </c>
      <c r="M23" s="31">
        <f t="shared" si="19"/>
        <v>0</v>
      </c>
      <c r="N23" s="35">
        <f>IFERROR((VLOOKUP(A23,AtskaiteStatusuTabula!B:AI,17,0)),0)</f>
        <v>15</v>
      </c>
      <c r="O23" s="35">
        <v>10450395.23</v>
      </c>
      <c r="P23" s="31">
        <v>0.70918199391904535</v>
      </c>
      <c r="Q23" s="439">
        <f>IFERROR((VLOOKUP(A23,AtskaiteStatusuTabula!B:AI,18,0)),0)-AtskaiteStatusuTabula!T35</f>
        <v>10450395.23</v>
      </c>
      <c r="R23" s="31">
        <f>Q23/F23</f>
        <v>0.70918199391904535</v>
      </c>
      <c r="S23" s="31">
        <f t="shared" si="15"/>
        <v>0</v>
      </c>
      <c r="T23" s="31">
        <f t="shared" si="16"/>
        <v>0</v>
      </c>
      <c r="U23" s="35">
        <f>IFERROR((VLOOKUP(A23,AtskaiteStatusuTabula!B:AI,23,0)),0)</f>
        <v>15</v>
      </c>
      <c r="V23" s="35">
        <v>10450395.23</v>
      </c>
      <c r="W23" s="31">
        <v>0.70918199391904535</v>
      </c>
      <c r="X23" s="439">
        <f>IFERROR((VLOOKUP(A23,AtskaiteStatusuTabula!B:AI,24,0)),0)-AtskaiteStatusuTabula!Z35</f>
        <v>10450395.23</v>
      </c>
      <c r="Y23" s="31">
        <f>X23/F23</f>
        <v>0.70918199391904535</v>
      </c>
      <c r="Z23" s="31">
        <f t="shared" si="3"/>
        <v>0</v>
      </c>
      <c r="AA23" s="31">
        <f t="shared" si="18"/>
        <v>0</v>
      </c>
      <c r="AB23" s="35">
        <f>IFERROR((VLOOKUP(A23,AtskaiteStatusuTabula!B:AI,30,0)),0)</f>
        <v>15</v>
      </c>
      <c r="AC23" s="35">
        <v>10450395.23</v>
      </c>
      <c r="AD23" s="31">
        <v>0.70918199391904535</v>
      </c>
      <c r="AE23" s="439">
        <f>IFERROR((VLOOKUP(A23,AtskaiteStatusuTabula!B:AI,31,0)),0)-AtskaiteStatusuTabula!AG35</f>
        <v>10498076.439999999</v>
      </c>
      <c r="AF23" s="31">
        <f t="shared" si="22"/>
        <v>0.71241772374897561</v>
      </c>
      <c r="AG23" s="31">
        <f t="shared" si="20"/>
        <v>0</v>
      </c>
      <c r="AH23" s="31">
        <f t="shared" si="4"/>
        <v>0</v>
      </c>
      <c r="AI23" s="35">
        <v>10498076.439999999</v>
      </c>
      <c r="AJ23" s="31">
        <v>0.71241772374897561</v>
      </c>
      <c r="AL23" s="57">
        <f t="shared" si="23"/>
        <v>0</v>
      </c>
    </row>
    <row r="24" spans="1:38" x14ac:dyDescent="0.3">
      <c r="A24" s="20" t="s">
        <v>248</v>
      </c>
      <c r="B24" s="12" t="str">
        <f>VLOOKUP(A24,saīsinājumi_LV_ENG!A:G,5,FALSE)</f>
        <v>Inovāciju motivācija</v>
      </c>
      <c r="C24" s="11"/>
      <c r="D24" s="40" t="s">
        <v>344</v>
      </c>
      <c r="E24" s="40" t="s">
        <v>349</v>
      </c>
      <c r="F24" s="35">
        <v>4801192</v>
      </c>
      <c r="G24" s="35">
        <v>0</v>
      </c>
      <c r="H24" s="35">
        <f t="shared" si="21"/>
        <v>4801192</v>
      </c>
      <c r="I24" s="35">
        <v>292849.87196192303</v>
      </c>
      <c r="J24" s="35">
        <f>IFERROR((VLOOKUP(A24,AtskaiteStatusuTabula!B:AI,10,0)),0)</f>
        <v>4785304.3499999996</v>
      </c>
      <c r="K24" s="31">
        <f t="shared" si="12"/>
        <v>0.99669089467782157</v>
      </c>
      <c r="L24" s="31">
        <f t="shared" si="13"/>
        <v>0</v>
      </c>
      <c r="M24" s="31">
        <f t="shared" si="19"/>
        <v>0</v>
      </c>
      <c r="N24" s="35">
        <f>IFERROR((VLOOKUP(A24,AtskaiteStatusuTabula!B:AI,17,0)),0)</f>
        <v>1</v>
      </c>
      <c r="O24" s="35">
        <v>4785304.3499999996</v>
      </c>
      <c r="P24" s="31">
        <v>0.99669089467782157</v>
      </c>
      <c r="Q24" s="35">
        <f>IFERROR((VLOOKUP(A24,AtskaiteStatusuTabula!B:AI,18,0)),0)</f>
        <v>4785304.3499999996</v>
      </c>
      <c r="R24" s="31">
        <f>Q24/F24</f>
        <v>0.99669089467782157</v>
      </c>
      <c r="S24" s="31">
        <f t="shared" si="15"/>
        <v>0</v>
      </c>
      <c r="T24" s="31">
        <f t="shared" si="16"/>
        <v>0</v>
      </c>
      <c r="U24" s="35">
        <f>IFERROR((VLOOKUP(A24,AtskaiteStatusuTabula!B:AI,23,0)),0)</f>
        <v>1</v>
      </c>
      <c r="V24" s="35">
        <v>4785304.3499999996</v>
      </c>
      <c r="W24" s="31">
        <v>0.99669089467782157</v>
      </c>
      <c r="X24" s="35">
        <f>IFERROR((VLOOKUP(A24,AtskaiteStatusuTabula!B:AI,24,0)),0)</f>
        <v>4785304.3499999996</v>
      </c>
      <c r="Y24" s="31">
        <f>X24/F24</f>
        <v>0.99669089467782157</v>
      </c>
      <c r="Z24" s="31">
        <f t="shared" si="3"/>
        <v>0</v>
      </c>
      <c r="AA24" s="31">
        <f t="shared" si="18"/>
        <v>0</v>
      </c>
      <c r="AB24" s="35">
        <f>IFERROR((VLOOKUP(A24,AtskaiteStatusuTabula!B:AI,30,0)),0)</f>
        <v>1</v>
      </c>
      <c r="AC24" s="35">
        <v>4785304.3499999996</v>
      </c>
      <c r="AD24" s="31">
        <v>0.99669089467782157</v>
      </c>
      <c r="AE24" s="35">
        <f>IFERROR((VLOOKUP(A24,AtskaiteStatusuTabula!B:AI,31,0)),0)</f>
        <v>4785304.3499999996</v>
      </c>
      <c r="AF24" s="31">
        <f t="shared" si="22"/>
        <v>0.99669089467782157</v>
      </c>
      <c r="AG24" s="31">
        <f t="shared" si="20"/>
        <v>0</v>
      </c>
      <c r="AH24" s="31">
        <f t="shared" si="4"/>
        <v>0</v>
      </c>
      <c r="AI24" s="35">
        <v>4785304.3499999996</v>
      </c>
      <c r="AJ24" s="31">
        <v>0.99669089467782157</v>
      </c>
      <c r="AL24" s="57">
        <f t="shared" si="23"/>
        <v>0</v>
      </c>
    </row>
    <row r="25" spans="1:38" ht="37.5" x14ac:dyDescent="0.3">
      <c r="A25" s="20" t="s">
        <v>395</v>
      </c>
      <c r="B25" s="12" t="str">
        <f>VLOOKUP(A25,saīsinājumi_LV_ENG!A:G,5,FALSE)</f>
        <v>IKT un netehnoloģiskās apmācības</v>
      </c>
      <c r="C25" s="11"/>
      <c r="D25" s="40" t="s">
        <v>344</v>
      </c>
      <c r="E25" s="40" t="s">
        <v>349</v>
      </c>
      <c r="F25" s="35">
        <v>4658242</v>
      </c>
      <c r="G25" s="35">
        <v>0</v>
      </c>
      <c r="H25" s="35">
        <f t="shared" si="21"/>
        <v>4658242</v>
      </c>
      <c r="I25" s="35">
        <v>0</v>
      </c>
      <c r="J25" s="439">
        <f>IFERROR((VLOOKUP(A25,AtskaiteStatusuTabula!B:AI,10,0)),0)-AtskaiteStatusuTabula!L37</f>
        <v>4563329.24</v>
      </c>
      <c r="K25" s="31">
        <f>J25/F25</f>
        <v>0.97962476831388323</v>
      </c>
      <c r="L25" s="31">
        <f>K25-P25</f>
        <v>0</v>
      </c>
      <c r="M25" s="31">
        <f>IFERROR(((J25-O25)/O25),0)</f>
        <v>0</v>
      </c>
      <c r="N25" s="35">
        <f>IFERROR((VLOOKUP(A25,AtskaiteStatusuTabula!B:AI,17,0)),0)</f>
        <v>3</v>
      </c>
      <c r="O25" s="35">
        <v>4563329.24</v>
      </c>
      <c r="P25" s="31">
        <v>0.97962476831388323</v>
      </c>
      <c r="Q25" s="439">
        <f>IFERROR((VLOOKUP(A25,AtskaiteStatusuTabula!B:AI,18,0)),0)-AtskaiteStatusuTabula!T37</f>
        <v>4563329.24</v>
      </c>
      <c r="R25" s="31">
        <f>Q25/F25</f>
        <v>0.97962476831388323</v>
      </c>
      <c r="S25" s="31">
        <f>R25-W25</f>
        <v>0</v>
      </c>
      <c r="T25" s="31">
        <f>IFERROR(((Q25-V25)/V25),0)</f>
        <v>0</v>
      </c>
      <c r="U25" s="35">
        <f>IFERROR((VLOOKUP(A25,AtskaiteStatusuTabula!B:AI,23,0)),0)</f>
        <v>3</v>
      </c>
      <c r="V25" s="35">
        <v>4563329.24</v>
      </c>
      <c r="W25" s="31">
        <v>0.97962476831388323</v>
      </c>
      <c r="X25" s="439">
        <f>IFERROR((VLOOKUP(A25,AtskaiteStatusuTabula!B:AI,24,0)),0)-AtskaiteStatusuTabula!Z37</f>
        <v>4563329.24</v>
      </c>
      <c r="Y25" s="31">
        <f>X25/F25</f>
        <v>0.97962476831388323</v>
      </c>
      <c r="Z25" s="31">
        <f>Y25-AD25</f>
        <v>0</v>
      </c>
      <c r="AA25" s="31">
        <f>IFERROR(((X25-AC25)/AC25),0)</f>
        <v>0</v>
      </c>
      <c r="AB25" s="35">
        <f>IFERROR((VLOOKUP(A25,AtskaiteStatusuTabula!B:AI,30,0)),0)</f>
        <v>3</v>
      </c>
      <c r="AC25" s="35">
        <v>4563329.24</v>
      </c>
      <c r="AD25" s="31">
        <v>0.97962476831388323</v>
      </c>
      <c r="AE25" s="439">
        <f>IFERROR((VLOOKUP(A25,AtskaiteStatusuTabula!B:AI,31,0)),0)-AtskaiteStatusuTabula!AG37</f>
        <v>3019156.3900000006</v>
      </c>
      <c r="AF25" s="31">
        <f t="shared" si="22"/>
        <v>0.64813214727787882</v>
      </c>
      <c r="AG25" s="31">
        <f>AF25-AJ25</f>
        <v>-3.2200989128516877E-4</v>
      </c>
      <c r="AH25" s="31">
        <f>IFERROR(((AE25-AI25)/AI25),0)</f>
        <v>-4.9658081103359114E-4</v>
      </c>
      <c r="AI25" s="35">
        <v>3020656.3900000006</v>
      </c>
      <c r="AJ25" s="31">
        <v>0.64845415716916399</v>
      </c>
      <c r="AL25" s="57">
        <f t="shared" si="23"/>
        <v>0</v>
      </c>
    </row>
    <row r="26" spans="1:38" s="24" customFormat="1" ht="56.25" x14ac:dyDescent="0.3">
      <c r="A26" s="21" t="s">
        <v>12</v>
      </c>
      <c r="B26" s="10" t="str">
        <f>VLOOKUP(A26,saīsinājumi_LV_ENG!A:G,5,FALSE)</f>
        <v>Informāciju un komunikāciju tehnoloģijas (IKT)</v>
      </c>
      <c r="C26" s="9"/>
      <c r="D26" s="41"/>
      <c r="E26" s="41"/>
      <c r="F26" s="36">
        <f>SUM(F27:F29)</f>
        <v>171083829</v>
      </c>
      <c r="G26" s="36">
        <f>SUM(G27:G29)</f>
        <v>0</v>
      </c>
      <c r="H26" s="36">
        <f>SUM(H27:H29)</f>
        <v>171083829</v>
      </c>
      <c r="I26" s="36">
        <f>SUM(I27:I29)</f>
        <v>7856779.6605614899</v>
      </c>
      <c r="J26" s="36">
        <f>SUM(J27:J29)</f>
        <v>165233954.75</v>
      </c>
      <c r="K26" s="32">
        <f t="shared" si="12"/>
        <v>0.96580697144672856</v>
      </c>
      <c r="L26" s="32">
        <f t="shared" si="13"/>
        <v>0</v>
      </c>
      <c r="M26" s="32">
        <f t="shared" si="19"/>
        <v>0</v>
      </c>
      <c r="N26" s="36">
        <f>SUM(N27:N29)</f>
        <v>59</v>
      </c>
      <c r="O26" s="36">
        <v>165233954.75</v>
      </c>
      <c r="P26" s="32">
        <v>0.96580697144672856</v>
      </c>
      <c r="Q26" s="36">
        <f>SUM(Q27:Q29)</f>
        <v>165233954.75</v>
      </c>
      <c r="R26" s="32">
        <f t="shared" ref="R26:R48" si="24">Q26/F26</f>
        <v>0.96580697144672856</v>
      </c>
      <c r="S26" s="32">
        <f t="shared" si="15"/>
        <v>0</v>
      </c>
      <c r="T26" s="32">
        <f t="shared" si="16"/>
        <v>0</v>
      </c>
      <c r="U26" s="36">
        <f>SUM(U27:U29)</f>
        <v>59</v>
      </c>
      <c r="V26" s="36">
        <v>165233954.75</v>
      </c>
      <c r="W26" s="32">
        <v>0.96580697144672856</v>
      </c>
      <c r="X26" s="36">
        <f>SUM(X27:X29)</f>
        <v>165233954.75</v>
      </c>
      <c r="Y26" s="32">
        <f t="shared" ref="Y26:Y48" si="25">X26/F26</f>
        <v>0.96580697144672856</v>
      </c>
      <c r="Z26" s="32">
        <f t="shared" si="3"/>
        <v>0</v>
      </c>
      <c r="AA26" s="32">
        <f t="shared" si="18"/>
        <v>0</v>
      </c>
      <c r="AB26" s="36">
        <f>SUM(AB27:AB29)</f>
        <v>59</v>
      </c>
      <c r="AC26" s="36">
        <v>165233954.75</v>
      </c>
      <c r="AD26" s="32">
        <v>0.96580697144672856</v>
      </c>
      <c r="AE26" s="36">
        <f>SUM(AE27:AE29)</f>
        <v>165233954.75</v>
      </c>
      <c r="AF26" s="32">
        <f t="shared" si="22"/>
        <v>0.96580697144672856</v>
      </c>
      <c r="AG26" s="32">
        <f t="shared" si="20"/>
        <v>0</v>
      </c>
      <c r="AH26" s="32">
        <f t="shared" si="4"/>
        <v>0</v>
      </c>
      <c r="AI26" s="36">
        <v>165233954.75</v>
      </c>
      <c r="AJ26" s="32">
        <v>0.96580697144672856</v>
      </c>
      <c r="AL26" s="57">
        <f t="shared" si="23"/>
        <v>0</v>
      </c>
    </row>
    <row r="27" spans="1:38" x14ac:dyDescent="0.3">
      <c r="A27" s="20" t="s">
        <v>250</v>
      </c>
      <c r="B27" s="12" t="str">
        <f>VLOOKUP(A27,saīsinājumi_LV_ENG!A:G,5,FALSE)</f>
        <v>Platjoslas infrastruktūra</v>
      </c>
      <c r="C27" s="11"/>
      <c r="D27" s="40" t="s">
        <v>344</v>
      </c>
      <c r="E27" s="40" t="s">
        <v>347</v>
      </c>
      <c r="F27" s="35">
        <v>42274115</v>
      </c>
      <c r="G27" s="35">
        <v>0</v>
      </c>
      <c r="H27" s="35">
        <f>F27+G27</f>
        <v>42274115</v>
      </c>
      <c r="I27" s="35">
        <v>0</v>
      </c>
      <c r="J27" s="35">
        <f>IFERROR((VLOOKUP(A27,AtskaiteStatusuTabula!B:AI,10,0)),0)</f>
        <v>39542253.600000001</v>
      </c>
      <c r="K27" s="31">
        <f>J27/F27</f>
        <v>0.93537744314694704</v>
      </c>
      <c r="L27" s="31">
        <f t="shared" si="13"/>
        <v>0</v>
      </c>
      <c r="M27" s="31">
        <f t="shared" si="19"/>
        <v>0</v>
      </c>
      <c r="N27" s="35">
        <f>IFERROR((VLOOKUP(A27,AtskaiteStatusuTabula!B:AI,17,0)),0)</f>
        <v>1</v>
      </c>
      <c r="O27" s="35">
        <v>39542253.600000001</v>
      </c>
      <c r="P27" s="31">
        <v>0.93537744314694704</v>
      </c>
      <c r="Q27" s="35">
        <f>IFERROR((VLOOKUP(A27,AtskaiteStatusuTabula!B:AI,18,0)),0)</f>
        <v>39542253.600000001</v>
      </c>
      <c r="R27" s="31">
        <f t="shared" si="24"/>
        <v>0.93537744314694704</v>
      </c>
      <c r="S27" s="31">
        <f t="shared" si="15"/>
        <v>0</v>
      </c>
      <c r="T27" s="31">
        <f t="shared" si="16"/>
        <v>0</v>
      </c>
      <c r="U27" s="35">
        <f>IFERROR((VLOOKUP(A27,AtskaiteStatusuTabula!B:AI,23,0)),0)</f>
        <v>1</v>
      </c>
      <c r="V27" s="35">
        <v>39542253.600000001</v>
      </c>
      <c r="W27" s="31">
        <v>0.93537744314694704</v>
      </c>
      <c r="X27" s="35">
        <f>IFERROR((VLOOKUP(A27,AtskaiteStatusuTabula!B:AI,24,0)),0)</f>
        <v>39542253.600000001</v>
      </c>
      <c r="Y27" s="31">
        <f t="shared" si="25"/>
        <v>0.93537744314694704</v>
      </c>
      <c r="Z27" s="31">
        <f t="shared" si="3"/>
        <v>0</v>
      </c>
      <c r="AA27" s="31">
        <f t="shared" si="18"/>
        <v>0</v>
      </c>
      <c r="AB27" s="35">
        <f>IFERROR((VLOOKUP(A27,AtskaiteStatusuTabula!B:AI,30,0)),0)</f>
        <v>1</v>
      </c>
      <c r="AC27" s="35">
        <v>39542253.600000001</v>
      </c>
      <c r="AD27" s="31">
        <v>0.93537744314694704</v>
      </c>
      <c r="AE27" s="35">
        <f>IFERROR((VLOOKUP(A27,AtskaiteStatusuTabula!B:AI,31,0)),0)</f>
        <v>39542253.600000001</v>
      </c>
      <c r="AF27" s="31">
        <f t="shared" si="22"/>
        <v>0.93537744314694704</v>
      </c>
      <c r="AG27" s="31">
        <f t="shared" si="20"/>
        <v>0</v>
      </c>
      <c r="AH27" s="31">
        <f t="shared" si="4"/>
        <v>0</v>
      </c>
      <c r="AI27" s="35">
        <v>39542253.600000001</v>
      </c>
      <c r="AJ27" s="31">
        <v>0.93537744314694704</v>
      </c>
      <c r="AL27" s="57">
        <f t="shared" si="23"/>
        <v>0</v>
      </c>
    </row>
    <row r="28" spans="1:38" x14ac:dyDescent="0.3">
      <c r="A28" s="20" t="s">
        <v>251</v>
      </c>
      <c r="B28" s="12" t="str">
        <f>VLOOKUP(A28,saīsinājumi_LV_ENG!A:G,5,FALSE)</f>
        <v>IKT</v>
      </c>
      <c r="C28" s="11"/>
      <c r="D28" s="40" t="s">
        <v>344</v>
      </c>
      <c r="E28" s="40" t="s">
        <v>350</v>
      </c>
      <c r="F28" s="35">
        <v>118694714</v>
      </c>
      <c r="G28" s="35">
        <v>0</v>
      </c>
      <c r="H28" s="35">
        <f>F28+G28</f>
        <v>118694714</v>
      </c>
      <c r="I28" s="35">
        <f>7130936.66056149+725843</f>
        <v>7856779.6605614899</v>
      </c>
      <c r="J28" s="35">
        <f>IFERROR((VLOOKUP(A28,AtskaiteStatusuTabula!B:AI,10,0)),0)</f>
        <v>115807330.93000001</v>
      </c>
      <c r="K28" s="31">
        <f t="shared" si="12"/>
        <v>0.97567386977317294</v>
      </c>
      <c r="L28" s="31">
        <f t="shared" si="13"/>
        <v>0</v>
      </c>
      <c r="M28" s="31">
        <f t="shared" si="19"/>
        <v>0</v>
      </c>
      <c r="N28" s="35">
        <f>IFERROR((VLOOKUP(A28,AtskaiteStatusuTabula!B:AI,17,0)),0)</f>
        <v>56</v>
      </c>
      <c r="O28" s="35">
        <v>115807330.93000001</v>
      </c>
      <c r="P28" s="31">
        <v>0.97567386977317294</v>
      </c>
      <c r="Q28" s="35">
        <f>IFERROR((VLOOKUP(A28,AtskaiteStatusuTabula!B:AI,18,0)),0)</f>
        <v>115807330.93000001</v>
      </c>
      <c r="R28" s="31">
        <f t="shared" si="24"/>
        <v>0.97567386977317294</v>
      </c>
      <c r="S28" s="31">
        <f t="shared" si="15"/>
        <v>0</v>
      </c>
      <c r="T28" s="31">
        <f t="shared" si="16"/>
        <v>0</v>
      </c>
      <c r="U28" s="35">
        <f>IFERROR((VLOOKUP(A28,AtskaiteStatusuTabula!B:AI,23,0)),0)</f>
        <v>56</v>
      </c>
      <c r="V28" s="35">
        <v>115807330.93000001</v>
      </c>
      <c r="W28" s="31">
        <v>0.97567386977317294</v>
      </c>
      <c r="X28" s="35">
        <f>IFERROR((VLOOKUP(A28,AtskaiteStatusuTabula!B:AI,24,0)),0)</f>
        <v>115807330.93000001</v>
      </c>
      <c r="Y28" s="31">
        <f t="shared" si="25"/>
        <v>0.97567386977317294</v>
      </c>
      <c r="Z28" s="31">
        <f t="shared" si="3"/>
        <v>0</v>
      </c>
      <c r="AA28" s="31">
        <f t="shared" si="18"/>
        <v>0</v>
      </c>
      <c r="AB28" s="35">
        <f>IFERROR((VLOOKUP(A28,AtskaiteStatusuTabula!B:AI,30,0)),0)</f>
        <v>56</v>
      </c>
      <c r="AC28" s="35">
        <v>115807330.93000001</v>
      </c>
      <c r="AD28" s="31">
        <v>0.97567386977317294</v>
      </c>
      <c r="AE28" s="35">
        <f>IFERROR((VLOOKUP(A28,AtskaiteStatusuTabula!B:AI,31,0)),0)</f>
        <v>115807330.93000001</v>
      </c>
      <c r="AF28" s="31">
        <f t="shared" si="22"/>
        <v>0.97567386977317294</v>
      </c>
      <c r="AG28" s="31">
        <f t="shared" si="20"/>
        <v>0</v>
      </c>
      <c r="AH28" s="31">
        <f t="shared" si="4"/>
        <v>0</v>
      </c>
      <c r="AI28" s="35">
        <v>115807330.93000001</v>
      </c>
      <c r="AJ28" s="31">
        <v>0.97567386977317294</v>
      </c>
      <c r="AL28" s="57">
        <f t="shared" si="23"/>
        <v>0</v>
      </c>
    </row>
    <row r="29" spans="1:38" ht="37.5" x14ac:dyDescent="0.3">
      <c r="A29" s="20" t="s">
        <v>252</v>
      </c>
      <c r="B29" s="12" t="str">
        <f>VLOOKUP(A29,saīsinājumi_LV_ENG!A:G,5,FALSE)</f>
        <v>Kultūras mantojuma digitalizācija</v>
      </c>
      <c r="C29" s="11"/>
      <c r="D29" s="40" t="s">
        <v>344</v>
      </c>
      <c r="E29" s="40" t="s">
        <v>350</v>
      </c>
      <c r="F29" s="35">
        <v>10115000</v>
      </c>
      <c r="G29" s="35">
        <v>0</v>
      </c>
      <c r="H29" s="35">
        <f>F29+G29</f>
        <v>10115000</v>
      </c>
      <c r="I29" s="35">
        <v>0</v>
      </c>
      <c r="J29" s="35">
        <f>IFERROR((VLOOKUP(A29,AtskaiteStatusuTabula!B:AI,10,0)),0)</f>
        <v>9884370.2200000007</v>
      </c>
      <c r="K29" s="31">
        <f t="shared" si="12"/>
        <v>0.97719923084527938</v>
      </c>
      <c r="L29" s="31">
        <f t="shared" si="13"/>
        <v>0</v>
      </c>
      <c r="M29" s="31">
        <f t="shared" si="19"/>
        <v>0</v>
      </c>
      <c r="N29" s="35">
        <f>IFERROR((VLOOKUP(A29,AtskaiteStatusuTabula!B:AI,17,0)),0)</f>
        <v>2</v>
      </c>
      <c r="O29" s="35">
        <v>9884370.2200000007</v>
      </c>
      <c r="P29" s="31">
        <v>0.97719923084527938</v>
      </c>
      <c r="Q29" s="35">
        <f>IFERROR((VLOOKUP(A29,AtskaiteStatusuTabula!B:AI,18,0)),0)</f>
        <v>9884370.2200000007</v>
      </c>
      <c r="R29" s="31">
        <f t="shared" si="24"/>
        <v>0.97719923084527938</v>
      </c>
      <c r="S29" s="31">
        <f t="shared" si="15"/>
        <v>0</v>
      </c>
      <c r="T29" s="31">
        <f t="shared" si="16"/>
        <v>0</v>
      </c>
      <c r="U29" s="35">
        <f>IFERROR((VLOOKUP(A29,AtskaiteStatusuTabula!B:AI,23,0)),0)</f>
        <v>2</v>
      </c>
      <c r="V29" s="35">
        <v>9884370.2200000007</v>
      </c>
      <c r="W29" s="31">
        <v>0.97719923084527938</v>
      </c>
      <c r="X29" s="35">
        <f>IFERROR((VLOOKUP(A29,AtskaiteStatusuTabula!B:AI,24,0)),0)</f>
        <v>9884370.2200000007</v>
      </c>
      <c r="Y29" s="31">
        <f t="shared" si="25"/>
        <v>0.97719923084527938</v>
      </c>
      <c r="Z29" s="31">
        <f t="shared" si="3"/>
        <v>0</v>
      </c>
      <c r="AA29" s="31">
        <f t="shared" si="18"/>
        <v>0</v>
      </c>
      <c r="AB29" s="35">
        <f>IFERROR((VLOOKUP(A29,AtskaiteStatusuTabula!B:AI,30,0)),0)</f>
        <v>2</v>
      </c>
      <c r="AC29" s="35">
        <v>9884370.2200000007</v>
      </c>
      <c r="AD29" s="31">
        <v>0.97719923084527938</v>
      </c>
      <c r="AE29" s="35">
        <f>IFERROR((VLOOKUP(A29,AtskaiteStatusuTabula!B:AI,31,0)),0)</f>
        <v>9884370.2200000007</v>
      </c>
      <c r="AF29" s="31">
        <f t="shared" si="22"/>
        <v>0.97719923084527938</v>
      </c>
      <c r="AG29" s="31">
        <f t="shared" si="20"/>
        <v>0</v>
      </c>
      <c r="AH29" s="31">
        <f t="shared" si="4"/>
        <v>0</v>
      </c>
      <c r="AI29" s="35">
        <v>9884370.2200000007</v>
      </c>
      <c r="AJ29" s="31">
        <v>0.97719923084527938</v>
      </c>
      <c r="AL29" s="57">
        <f t="shared" si="23"/>
        <v>0</v>
      </c>
    </row>
    <row r="30" spans="1:38" x14ac:dyDescent="0.3">
      <c r="A30" s="21" t="s">
        <v>18</v>
      </c>
      <c r="B30" s="10" t="str">
        <f>VLOOKUP(A30,saīsinājumi_LV_ENG!A:G,5,FALSE)</f>
        <v>MVK konkurētspēja</v>
      </c>
      <c r="C30" s="10"/>
      <c r="D30" s="42"/>
      <c r="E30" s="42"/>
      <c r="F30" s="37">
        <f>SUM(F31:F46)</f>
        <v>370305153</v>
      </c>
      <c r="G30" s="37">
        <f>SUM(G31:G46)</f>
        <v>290005</v>
      </c>
      <c r="H30" s="37">
        <f>SUM(H31:H46)</f>
        <v>370595158</v>
      </c>
      <c r="I30" s="37">
        <f>SUM(I31:I46)</f>
        <v>18670727.728510205</v>
      </c>
      <c r="J30" s="37">
        <f>SUM(J31:J46)</f>
        <v>354668642.69</v>
      </c>
      <c r="K30" s="33">
        <f t="shared" si="12"/>
        <v>0.95777398671522129</v>
      </c>
      <c r="L30" s="33">
        <f t="shared" si="13"/>
        <v>0</v>
      </c>
      <c r="M30" s="33">
        <f t="shared" si="19"/>
        <v>0</v>
      </c>
      <c r="N30" s="37">
        <f>SUM(N31:N46)</f>
        <v>178</v>
      </c>
      <c r="O30" s="37">
        <v>354668642.69</v>
      </c>
      <c r="P30" s="33">
        <v>0.95777398671522129</v>
      </c>
      <c r="Q30" s="37">
        <f>SUM(Q31:Q46)</f>
        <v>354668642.69</v>
      </c>
      <c r="R30" s="33">
        <f t="shared" si="24"/>
        <v>0.95777398671522129</v>
      </c>
      <c r="S30" s="33">
        <f t="shared" si="15"/>
        <v>0</v>
      </c>
      <c r="T30" s="33">
        <f t="shared" si="16"/>
        <v>0</v>
      </c>
      <c r="U30" s="37">
        <f>SUM(U31:U46)</f>
        <v>178</v>
      </c>
      <c r="V30" s="37">
        <v>354668642.69</v>
      </c>
      <c r="W30" s="33">
        <v>0.95777398671522129</v>
      </c>
      <c r="X30" s="37">
        <f>SUM(X31:X46)</f>
        <v>354668642.69</v>
      </c>
      <c r="Y30" s="33">
        <f t="shared" si="25"/>
        <v>0.95777398671522129</v>
      </c>
      <c r="Z30" s="33">
        <f t="shared" si="3"/>
        <v>0</v>
      </c>
      <c r="AA30" s="33">
        <f t="shared" si="18"/>
        <v>0</v>
      </c>
      <c r="AB30" s="37">
        <f>SUM(AB31:AB46)</f>
        <v>178</v>
      </c>
      <c r="AC30" s="37">
        <v>354668642.69</v>
      </c>
      <c r="AD30" s="33">
        <v>0.95777398671522129</v>
      </c>
      <c r="AE30" s="37">
        <f>SUM(AE31:AE46)</f>
        <v>347456641.94999999</v>
      </c>
      <c r="AF30" s="33">
        <f t="shared" si="22"/>
        <v>0.93829815527843863</v>
      </c>
      <c r="AG30" s="33">
        <f t="shared" si="20"/>
        <v>-2.9572334900784814E-4</v>
      </c>
      <c r="AH30" s="33">
        <f t="shared" si="4"/>
        <v>-3.1507061333089327E-4</v>
      </c>
      <c r="AI30" s="37">
        <v>347566149.82999998</v>
      </c>
      <c r="AJ30" s="33">
        <v>0.93859387862744648</v>
      </c>
      <c r="AL30" s="57">
        <f t="shared" si="23"/>
        <v>0</v>
      </c>
    </row>
    <row r="31" spans="1:38" x14ac:dyDescent="0.3">
      <c r="A31" s="20" t="s">
        <v>254</v>
      </c>
      <c r="B31" s="12" t="str">
        <f>VLOOKUP(A31,saīsinājumi_LV_ENG!A:G,5,FALSE)</f>
        <v>Aizdevumu garantijas</v>
      </c>
      <c r="C31" s="11">
        <v>2</v>
      </c>
      <c r="D31" s="40" t="s">
        <v>344</v>
      </c>
      <c r="E31" s="40" t="s">
        <v>349</v>
      </c>
      <c r="F31" s="35">
        <v>43800000</v>
      </c>
      <c r="G31" s="35">
        <v>0</v>
      </c>
      <c r="H31" s="35">
        <f t="shared" ref="H31:H45" si="26">F31+G31</f>
        <v>43800000</v>
      </c>
      <c r="I31" s="35">
        <v>6510677</v>
      </c>
      <c r="J31" s="148">
        <f>H31/(SUM(H31:H32)+H34+SUM(H37:H39))*AtskaiteStatusuTabula!K54</f>
        <v>43787912.446367651</v>
      </c>
      <c r="K31" s="31">
        <f t="shared" si="12"/>
        <v>0.99972402845588249</v>
      </c>
      <c r="L31" s="31">
        <f t="shared" si="13"/>
        <v>0</v>
      </c>
      <c r="M31" s="31">
        <f t="shared" si="19"/>
        <v>0</v>
      </c>
      <c r="N31" s="148">
        <v>0</v>
      </c>
      <c r="O31" s="35">
        <v>43787912.446367651</v>
      </c>
      <c r="P31" s="31">
        <v>0.99972402845588249</v>
      </c>
      <c r="Q31" s="148">
        <f>H31/(SUM(H31:H32)+H34+SUM(H37:H39))*AtskaiteStatusuTabula!S54</f>
        <v>43787912.446367651</v>
      </c>
      <c r="R31" s="31">
        <f t="shared" si="24"/>
        <v>0.99972402845588249</v>
      </c>
      <c r="S31" s="31">
        <f t="shared" si="15"/>
        <v>0</v>
      </c>
      <c r="T31" s="31">
        <f t="shared" si="16"/>
        <v>0</v>
      </c>
      <c r="U31" s="148">
        <v>0</v>
      </c>
      <c r="V31" s="35">
        <v>43787912.446367651</v>
      </c>
      <c r="W31" s="31">
        <v>0.99972402845588249</v>
      </c>
      <c r="X31" s="148">
        <f>H31/(SUM(H31:H32)+H34+SUM(H37:H39))*AtskaiteStatusuTabula!Y54</f>
        <v>43787912.446367651</v>
      </c>
      <c r="Y31" s="31">
        <f t="shared" si="25"/>
        <v>0.99972402845588249</v>
      </c>
      <c r="Z31" s="31">
        <f t="shared" si="3"/>
        <v>0</v>
      </c>
      <c r="AA31" s="31">
        <f t="shared" si="18"/>
        <v>0</v>
      </c>
      <c r="AB31" s="148">
        <v>0</v>
      </c>
      <c r="AC31" s="35">
        <v>43787912.446367651</v>
      </c>
      <c r="AD31" s="31">
        <v>0.99972402845588249</v>
      </c>
      <c r="AE31" s="148">
        <f>H31/(SUM(H31:H32)+H34+SUM(H37:H39))*(AtskaiteStatusuTabula!AF54-AtskaiteStatusuTabula!AG54)</f>
        <v>43229711.504117653</v>
      </c>
      <c r="AF31" s="31">
        <f t="shared" si="22"/>
        <v>0.98697971470588253</v>
      </c>
      <c r="AG31" s="31">
        <f t="shared" si="20"/>
        <v>0</v>
      </c>
      <c r="AH31" s="31">
        <f t="shared" si="4"/>
        <v>0</v>
      </c>
      <c r="AI31" s="35">
        <v>43229711.504117653</v>
      </c>
      <c r="AJ31" s="31">
        <v>0.98697971470588253</v>
      </c>
      <c r="AL31" s="57">
        <f t="shared" si="23"/>
        <v>0</v>
      </c>
    </row>
    <row r="32" spans="1:38" x14ac:dyDescent="0.3">
      <c r="A32" s="20" t="s">
        <v>255</v>
      </c>
      <c r="B32" s="12" t="str">
        <f>VLOOKUP(A32,saīsinājumi_LV_ENG!A:G,5,FALSE)</f>
        <v>Mezanīna aizdevumi</v>
      </c>
      <c r="C32" s="11">
        <v>2</v>
      </c>
      <c r="D32" s="40" t="s">
        <v>344</v>
      </c>
      <c r="E32" s="40" t="s">
        <v>349</v>
      </c>
      <c r="F32" s="35">
        <v>7000000</v>
      </c>
      <c r="G32" s="35">
        <v>0</v>
      </c>
      <c r="H32" s="35">
        <f t="shared" si="26"/>
        <v>7000000</v>
      </c>
      <c r="I32" s="35">
        <v>0</v>
      </c>
      <c r="J32" s="148">
        <f>H32/(SUM(H31:H32)+H34+SUM(H37:H39))*AtskaiteStatusuTabula!K54</f>
        <v>6998068.1991911763</v>
      </c>
      <c r="K32" s="31">
        <f t="shared" si="12"/>
        <v>0.99972402845588237</v>
      </c>
      <c r="L32" s="31">
        <f t="shared" si="13"/>
        <v>0</v>
      </c>
      <c r="M32" s="31">
        <f t="shared" si="19"/>
        <v>0</v>
      </c>
      <c r="N32" s="148">
        <v>0</v>
      </c>
      <c r="O32" s="35">
        <v>6998068.1991911763</v>
      </c>
      <c r="P32" s="31">
        <v>0.99972402845588237</v>
      </c>
      <c r="Q32" s="148">
        <f>H32/(SUM(H31:H32)+H34+SUM(H37:H39))*AtskaiteStatusuTabula!S54</f>
        <v>6998068.1991911763</v>
      </c>
      <c r="R32" s="31">
        <f t="shared" si="24"/>
        <v>0.99972402845588237</v>
      </c>
      <c r="S32" s="31">
        <f t="shared" si="15"/>
        <v>0</v>
      </c>
      <c r="T32" s="31">
        <f t="shared" si="16"/>
        <v>0</v>
      </c>
      <c r="U32" s="148">
        <v>0</v>
      </c>
      <c r="V32" s="35">
        <v>6998068.1991911763</v>
      </c>
      <c r="W32" s="31">
        <v>0.99972402845588237</v>
      </c>
      <c r="X32" s="148">
        <f>H32/(SUM(H31:H32)+H34+SUM(H37:H39))*AtskaiteStatusuTabula!Y54</f>
        <v>6998068.1991911763</v>
      </c>
      <c r="Y32" s="31">
        <f t="shared" si="25"/>
        <v>0.99972402845588237</v>
      </c>
      <c r="Z32" s="31">
        <f t="shared" si="3"/>
        <v>0</v>
      </c>
      <c r="AA32" s="31">
        <f t="shared" si="18"/>
        <v>0</v>
      </c>
      <c r="AB32" s="148">
        <v>0</v>
      </c>
      <c r="AC32" s="35">
        <v>6998068.1991911763</v>
      </c>
      <c r="AD32" s="31">
        <v>0.99972402845588237</v>
      </c>
      <c r="AE32" s="148">
        <f>H32/(SUM(H31:H32)+H34+SUM(H37:H39))*(AtskaiteStatusuTabula!AF54-AtskaiteStatusuTabula!AG54)</f>
        <v>6908858.0029411772</v>
      </c>
      <c r="AF32" s="31">
        <f t="shared" si="22"/>
        <v>0.98697971470588242</v>
      </c>
      <c r="AG32" s="31">
        <f t="shared" si="20"/>
        <v>0</v>
      </c>
      <c r="AH32" s="31">
        <f t="shared" si="4"/>
        <v>0</v>
      </c>
      <c r="AI32" s="35">
        <v>6908858.0029411772</v>
      </c>
      <c r="AJ32" s="31">
        <v>0.98697971470588242</v>
      </c>
      <c r="AL32" s="57">
        <f t="shared" si="23"/>
        <v>0</v>
      </c>
    </row>
    <row r="33" spans="1:39" ht="56.25" x14ac:dyDescent="0.3">
      <c r="A33" s="20" t="s">
        <v>256</v>
      </c>
      <c r="B33" s="95" t="str">
        <f>VLOOKUP(A33,saīsinājumi_LV_ENG!A:G,5,FALSE)</f>
        <v>Atbalsts MVK finansējuma piesaistei kapitāla tirgos</v>
      </c>
      <c r="C33" s="96"/>
      <c r="D33" s="40" t="s">
        <v>344</v>
      </c>
      <c r="E33" s="40" t="s">
        <v>349</v>
      </c>
      <c r="F33" s="35">
        <v>1000000</v>
      </c>
      <c r="G33" s="35">
        <v>0</v>
      </c>
      <c r="H33" s="35">
        <f t="shared" si="26"/>
        <v>1000000</v>
      </c>
      <c r="I33" s="35">
        <v>0</v>
      </c>
      <c r="J33" s="35">
        <f>IFERROR((VLOOKUP(A33,AtskaiteStatusuTabula!B:AI,10,0)),0)</f>
        <v>76800</v>
      </c>
      <c r="K33" s="31">
        <f t="shared" si="12"/>
        <v>7.6799999999999993E-2</v>
      </c>
      <c r="L33" s="31">
        <f t="shared" si="13"/>
        <v>0</v>
      </c>
      <c r="M33" s="31">
        <f t="shared" si="19"/>
        <v>0</v>
      </c>
      <c r="N33" s="35">
        <f>IFERROR((VLOOKUP(A33,AtskaiteStatusuTabula!B:AI,17,0)),0)</f>
        <v>1</v>
      </c>
      <c r="O33" s="35">
        <v>76800</v>
      </c>
      <c r="P33" s="31">
        <v>7.6799999999999993E-2</v>
      </c>
      <c r="Q33" s="35">
        <f>IFERROR((VLOOKUP(A33,AtskaiteStatusuTabula!B:AI,18,0)),0)</f>
        <v>76800</v>
      </c>
      <c r="R33" s="31">
        <f t="shared" ref="R33" si="27">Q33/F33</f>
        <v>7.6799999999999993E-2</v>
      </c>
      <c r="S33" s="31">
        <f t="shared" ref="S33" si="28">R33-W33</f>
        <v>0</v>
      </c>
      <c r="T33" s="31">
        <f t="shared" ref="T33" si="29">IFERROR(((Q33-V33)/V33),0)</f>
        <v>0</v>
      </c>
      <c r="U33" s="35">
        <f>IFERROR((VLOOKUP(A33,AtskaiteStatusuTabula!B:AI,23,0)),0)</f>
        <v>1</v>
      </c>
      <c r="V33" s="35">
        <v>76800</v>
      </c>
      <c r="W33" s="31">
        <v>7.6799999999999993E-2</v>
      </c>
      <c r="X33" s="35">
        <f>IFERROR((VLOOKUP(A33,AtskaiteStatusuTabula!B:AI,24,0)),0)</f>
        <v>76800</v>
      </c>
      <c r="Y33" s="31">
        <f t="shared" ref="Y33" si="30">X33/F33</f>
        <v>7.6799999999999993E-2</v>
      </c>
      <c r="Z33" s="31">
        <f t="shared" ref="Z33" si="31">Y33-AD33</f>
        <v>0</v>
      </c>
      <c r="AA33" s="31">
        <f t="shared" ref="AA33" si="32">IFERROR(((X33-AC33)/AC33),0)</f>
        <v>0</v>
      </c>
      <c r="AB33" s="35">
        <f>IFERROR((VLOOKUP(A33,AtskaiteStatusuTabula!B:AI,30,0)),0)</f>
        <v>1</v>
      </c>
      <c r="AC33" s="35">
        <v>76800</v>
      </c>
      <c r="AD33" s="31">
        <v>7.6799999999999993E-2</v>
      </c>
      <c r="AE33" s="35">
        <f>IFERROR((VLOOKUP(A33,AtskaiteStatusuTabula!B:AI,31,0)),0)</f>
        <v>56200</v>
      </c>
      <c r="AF33" s="31">
        <f t="shared" ref="AF33" si="33">IFERROR((AE33/$F33),0)</f>
        <v>5.62E-2</v>
      </c>
      <c r="AG33" s="31">
        <f t="shared" ref="AG33" si="34">AF33-AJ33</f>
        <v>0</v>
      </c>
      <c r="AH33" s="31">
        <f t="shared" ref="AH33" si="35">IFERROR(((AE33-AI33)/AI33),0)</f>
        <v>0</v>
      </c>
      <c r="AI33" s="35">
        <v>56200</v>
      </c>
      <c r="AJ33" s="31">
        <v>5.62E-2</v>
      </c>
      <c r="AL33" s="57">
        <f t="shared" si="23"/>
        <v>0</v>
      </c>
    </row>
    <row r="34" spans="1:39" ht="37.5" x14ac:dyDescent="0.3">
      <c r="A34" s="20" t="s">
        <v>257</v>
      </c>
      <c r="B34" s="12" t="str">
        <f>VLOOKUP(A34,saīsinājumi_LV_ENG!A:G,5,FALSE)</f>
        <v>Mikrokredīti un starta aizdevumi</v>
      </c>
      <c r="C34" s="11">
        <v>2</v>
      </c>
      <c r="D34" s="40" t="s">
        <v>344</v>
      </c>
      <c r="E34" s="40" t="s">
        <v>349</v>
      </c>
      <c r="F34" s="35">
        <v>15000000</v>
      </c>
      <c r="G34" s="35">
        <v>0</v>
      </c>
      <c r="H34" s="35">
        <f t="shared" si="26"/>
        <v>15000000</v>
      </c>
      <c r="I34" s="35">
        <v>0</v>
      </c>
      <c r="J34" s="148">
        <f>H34/(SUM(H31:H32)+H34+SUM(H37:H39))*AtskaiteStatusuTabula!K54</f>
        <v>14995860.426838236</v>
      </c>
      <c r="K34" s="31">
        <f t="shared" si="12"/>
        <v>0.99972402845588237</v>
      </c>
      <c r="L34" s="31">
        <f t="shared" si="13"/>
        <v>0</v>
      </c>
      <c r="M34" s="31">
        <f t="shared" si="19"/>
        <v>0</v>
      </c>
      <c r="N34" s="148">
        <v>0</v>
      </c>
      <c r="O34" s="35">
        <v>14995860.426838236</v>
      </c>
      <c r="P34" s="31">
        <v>0.99972402845588237</v>
      </c>
      <c r="Q34" s="148">
        <f>H34/(SUM(H31:H32)+H34+SUM(H37:H39))*AtskaiteStatusuTabula!S54</f>
        <v>14995860.426838236</v>
      </c>
      <c r="R34" s="31">
        <f t="shared" si="24"/>
        <v>0.99972402845588237</v>
      </c>
      <c r="S34" s="31">
        <f t="shared" si="15"/>
        <v>0</v>
      </c>
      <c r="T34" s="31">
        <f t="shared" si="16"/>
        <v>0</v>
      </c>
      <c r="U34" s="148">
        <v>0</v>
      </c>
      <c r="V34" s="35">
        <v>14995860.426838236</v>
      </c>
      <c r="W34" s="31">
        <v>0.99972402845588237</v>
      </c>
      <c r="X34" s="148">
        <f>H34/(SUM(H31:H32)+H34+SUM(H37:H39))*AtskaiteStatusuTabula!Y54</f>
        <v>14995860.426838236</v>
      </c>
      <c r="Y34" s="31">
        <f t="shared" si="25"/>
        <v>0.99972402845588237</v>
      </c>
      <c r="Z34" s="31">
        <f t="shared" si="3"/>
        <v>0</v>
      </c>
      <c r="AA34" s="31">
        <f t="shared" si="18"/>
        <v>0</v>
      </c>
      <c r="AB34" s="148">
        <v>0</v>
      </c>
      <c r="AC34" s="35">
        <v>14995860.426838236</v>
      </c>
      <c r="AD34" s="31">
        <v>0.99972402845588237</v>
      </c>
      <c r="AE34" s="148">
        <f>H34/(SUM(H31:H32)+H34+SUM(H37:H39))*(AtskaiteStatusuTabula!AF54-AtskaiteStatusuTabula!AG54)</f>
        <v>14804695.720588237</v>
      </c>
      <c r="AF34" s="31">
        <f t="shared" si="22"/>
        <v>0.98697971470588242</v>
      </c>
      <c r="AG34" s="31">
        <f t="shared" si="20"/>
        <v>0</v>
      </c>
      <c r="AH34" s="31">
        <f t="shared" si="4"/>
        <v>0</v>
      </c>
      <c r="AI34" s="35">
        <v>14804695.720588237</v>
      </c>
      <c r="AJ34" s="31">
        <v>0.98697971470588242</v>
      </c>
      <c r="AL34" s="57">
        <f t="shared" si="23"/>
        <v>0</v>
      </c>
    </row>
    <row r="35" spans="1:39" x14ac:dyDescent="0.3">
      <c r="A35" s="20" t="s">
        <v>258</v>
      </c>
      <c r="B35" s="12" t="str">
        <f>VLOOKUP(A35,saīsinājumi_LV_ENG!A:G,5,FALSE)</f>
        <v>Ražošanas telpas</v>
      </c>
      <c r="C35" s="11">
        <v>9</v>
      </c>
      <c r="D35" s="40" t="s">
        <v>344</v>
      </c>
      <c r="E35" s="40" t="s">
        <v>349</v>
      </c>
      <c r="F35" s="35">
        <f>49547202-532852-6000000-1864738-1600000</f>
        <v>39549612</v>
      </c>
      <c r="G35" s="35">
        <v>0</v>
      </c>
      <c r="H35" s="35">
        <f t="shared" si="26"/>
        <v>39549612</v>
      </c>
      <c r="I35" s="35">
        <v>532852</v>
      </c>
      <c r="J35" s="35">
        <f>IFERROR((VLOOKUP(A35,AtskaiteStatusuTabula!B:AI,10,0)),0)</f>
        <v>31580340.609999999</v>
      </c>
      <c r="K35" s="31">
        <f t="shared" si="12"/>
        <v>0.79849937870439791</v>
      </c>
      <c r="L35" s="31">
        <f t="shared" si="13"/>
        <v>0</v>
      </c>
      <c r="M35" s="31">
        <f t="shared" si="19"/>
        <v>0</v>
      </c>
      <c r="N35" s="35">
        <f>IFERROR((VLOOKUP(A35,AtskaiteStatusuTabula!B:AI,17,0)),0)</f>
        <v>51</v>
      </c>
      <c r="O35" s="35">
        <v>31580340.609999999</v>
      </c>
      <c r="P35" s="31">
        <v>0.79849937870439791</v>
      </c>
      <c r="Q35" s="35">
        <f>IFERROR((VLOOKUP(A35,AtskaiteStatusuTabula!B:AI,18,0)),0)</f>
        <v>31580340.609999999</v>
      </c>
      <c r="R35" s="31">
        <f t="shared" si="24"/>
        <v>0.79849937870439791</v>
      </c>
      <c r="S35" s="31">
        <f>R35-W35</f>
        <v>0</v>
      </c>
      <c r="T35" s="31">
        <f t="shared" si="16"/>
        <v>0</v>
      </c>
      <c r="U35" s="35">
        <f>IFERROR((VLOOKUP(A35,AtskaiteStatusuTabula!B:AI,23,0)),0)</f>
        <v>51</v>
      </c>
      <c r="V35" s="35">
        <v>31580340.609999999</v>
      </c>
      <c r="W35" s="31">
        <v>0.79849937870439791</v>
      </c>
      <c r="X35" s="35">
        <f>IFERROR((VLOOKUP(A35,AtskaiteStatusuTabula!B:AI,24,0)),0)</f>
        <v>31580340.609999999</v>
      </c>
      <c r="Y35" s="31">
        <f t="shared" si="25"/>
        <v>0.79849937870439791</v>
      </c>
      <c r="Z35" s="31">
        <f t="shared" si="3"/>
        <v>0</v>
      </c>
      <c r="AA35" s="31">
        <f t="shared" si="18"/>
        <v>0</v>
      </c>
      <c r="AB35" s="35">
        <f>IFERROR((VLOOKUP(A35,AtskaiteStatusuTabula!B:AI,30,0)),0)</f>
        <v>51</v>
      </c>
      <c r="AC35" s="35">
        <v>31580340.609999999</v>
      </c>
      <c r="AD35" s="31">
        <v>0.79849937870439791</v>
      </c>
      <c r="AE35" s="35">
        <f>IFERROR((VLOOKUP(A35,AtskaiteStatusuTabula!B:AI,31,0)),0)</f>
        <v>29792032.300000001</v>
      </c>
      <c r="AF35" s="31">
        <f t="shared" si="22"/>
        <v>0.75328254294884112</v>
      </c>
      <c r="AG35" s="31">
        <f t="shared" si="20"/>
        <v>0</v>
      </c>
      <c r="AH35" s="31">
        <f t="shared" si="4"/>
        <v>0</v>
      </c>
      <c r="AI35" s="35">
        <v>29792032.300000001</v>
      </c>
      <c r="AJ35" s="31">
        <v>0.75328254294884112</v>
      </c>
      <c r="AL35" s="57">
        <f t="shared" si="23"/>
        <v>0</v>
      </c>
      <c r="AM35" s="464"/>
    </row>
    <row r="36" spans="1:39" x14ac:dyDescent="0.3">
      <c r="A36" s="20" t="s">
        <v>259</v>
      </c>
      <c r="B36" s="12" t="str">
        <f>VLOOKUP(A36,saīsinājumi_LV_ENG!A:G,5,FALSE)</f>
        <v>Biznesa inkubatori</v>
      </c>
      <c r="C36" s="11"/>
      <c r="D36" s="40" t="s">
        <v>344</v>
      </c>
      <c r="E36" s="40" t="s">
        <v>349</v>
      </c>
      <c r="F36" s="35">
        <f>27209738+4555000</f>
        <v>31764738</v>
      </c>
      <c r="G36" s="35">
        <v>0</v>
      </c>
      <c r="H36" s="35">
        <f t="shared" si="26"/>
        <v>31764738</v>
      </c>
      <c r="I36" s="35">
        <v>1691500</v>
      </c>
      <c r="J36" s="439">
        <f>IFERROR((VLOOKUP(A36,AtskaiteStatusuTabula!B:AI,10,0)),0)-AtskaiteStatusuTabula!L51</f>
        <v>28753769.219999999</v>
      </c>
      <c r="K36" s="31">
        <f t="shared" si="12"/>
        <v>0.90521033795399164</v>
      </c>
      <c r="L36" s="31">
        <f t="shared" si="13"/>
        <v>0</v>
      </c>
      <c r="M36" s="31">
        <f t="shared" si="19"/>
        <v>0</v>
      </c>
      <c r="N36" s="35">
        <f>IFERROR((VLOOKUP(A36,AtskaiteStatusuTabula!B:AI,17,0)),0)</f>
        <v>1</v>
      </c>
      <c r="O36" s="35">
        <v>28753769.219999999</v>
      </c>
      <c r="P36" s="31">
        <v>0.90521033795399164</v>
      </c>
      <c r="Q36" s="439">
        <f>IFERROR((VLOOKUP(A36,AtskaiteStatusuTabula!B:AI,18,0)),0)-AtskaiteStatusuTabula!T51</f>
        <v>28753769.219999999</v>
      </c>
      <c r="R36" s="31">
        <f t="shared" si="24"/>
        <v>0.90521033795399164</v>
      </c>
      <c r="S36" s="31">
        <f t="shared" si="15"/>
        <v>0</v>
      </c>
      <c r="T36" s="31">
        <f t="shared" si="16"/>
        <v>0</v>
      </c>
      <c r="U36" s="35">
        <f>IFERROR((VLOOKUP(A36,AtskaiteStatusuTabula!B:AI,23,0)),0)</f>
        <v>1</v>
      </c>
      <c r="V36" s="35">
        <v>28753769.219999999</v>
      </c>
      <c r="W36" s="31">
        <v>0.90521033795399164</v>
      </c>
      <c r="X36" s="439">
        <f>IFERROR((VLOOKUP(A36,AtskaiteStatusuTabula!B:AI,24,0)),0)-AtskaiteStatusuTabula!Z51</f>
        <v>28753769.219999999</v>
      </c>
      <c r="Y36" s="31">
        <f t="shared" si="25"/>
        <v>0.90521033795399164</v>
      </c>
      <c r="Z36" s="31">
        <f t="shared" si="3"/>
        <v>0</v>
      </c>
      <c r="AA36" s="31">
        <f t="shared" si="18"/>
        <v>0</v>
      </c>
      <c r="AB36" s="35">
        <f>IFERROR((VLOOKUP(A36,AtskaiteStatusuTabula!B:AI,30,0)),0)</f>
        <v>1</v>
      </c>
      <c r="AC36" s="35">
        <v>28753769.219999999</v>
      </c>
      <c r="AD36" s="31">
        <v>0.90521033795399164</v>
      </c>
      <c r="AE36" s="439">
        <f>IFERROR((VLOOKUP(A36,AtskaiteStatusuTabula!B:AI,31,0)),0)-AtskaiteStatusuTabula!AG51</f>
        <v>29095698.419999998</v>
      </c>
      <c r="AF36" s="31">
        <f t="shared" si="22"/>
        <v>0.91597476484773765</v>
      </c>
      <c r="AG36" s="31">
        <f t="shared" si="20"/>
        <v>0</v>
      </c>
      <c r="AH36" s="31">
        <f t="shared" si="4"/>
        <v>0</v>
      </c>
      <c r="AI36" s="35">
        <v>29095698.419999998</v>
      </c>
      <c r="AJ36" s="31">
        <v>0.91597476484773765</v>
      </c>
      <c r="AL36" s="57">
        <f t="shared" si="23"/>
        <v>0</v>
      </c>
    </row>
    <row r="37" spans="1:39" x14ac:dyDescent="0.3">
      <c r="A37" s="20" t="s">
        <v>1361</v>
      </c>
      <c r="B37" s="12" t="s">
        <v>1529</v>
      </c>
      <c r="C37" s="11">
        <v>2</v>
      </c>
      <c r="D37" s="40" t="s">
        <v>344</v>
      </c>
      <c r="E37" s="40" t="s">
        <v>349</v>
      </c>
      <c r="F37" s="35">
        <v>25000000</v>
      </c>
      <c r="G37" s="35">
        <v>0</v>
      </c>
      <c r="H37" s="35">
        <f t="shared" ref="H37" si="36">F37+G37</f>
        <v>25000000</v>
      </c>
      <c r="I37" s="421">
        <v>1691501</v>
      </c>
      <c r="J37" s="148">
        <f>H37/(SUM(H31:H32)+H34+SUM(H37:H39))*AtskaiteStatusuTabula!K54</f>
        <v>24993100.711397063</v>
      </c>
      <c r="K37" s="31">
        <f t="shared" ref="K37" si="37">J37/F37</f>
        <v>0.99972402845588249</v>
      </c>
      <c r="L37" s="31">
        <f t="shared" ref="L37" si="38">K37-P37</f>
        <v>0</v>
      </c>
      <c r="M37" s="31">
        <f t="shared" ref="M37" si="39">IFERROR(((J37-O37)/O37),0)</f>
        <v>0</v>
      </c>
      <c r="N37" s="148">
        <v>0</v>
      </c>
      <c r="O37" s="35">
        <v>24993100.711397063</v>
      </c>
      <c r="P37" s="31">
        <v>0.99972402845588249</v>
      </c>
      <c r="Q37" s="148">
        <f>H37/(SUM(H31:H32)+H34+SUM(H37:H39))*AtskaiteStatusuTabula!S54</f>
        <v>24993100.711397063</v>
      </c>
      <c r="R37" s="31">
        <f t="shared" ref="R37" si="40">Q37/F37</f>
        <v>0.99972402845588249</v>
      </c>
      <c r="S37" s="31">
        <f t="shared" ref="S37" si="41">R37-W37</f>
        <v>0</v>
      </c>
      <c r="T37" s="31">
        <f t="shared" ref="T37" si="42">IFERROR(((Q37-V37)/V37),0)</f>
        <v>0</v>
      </c>
      <c r="U37" s="148">
        <v>0</v>
      </c>
      <c r="V37" s="421">
        <v>24993100.711397063</v>
      </c>
      <c r="W37" s="424">
        <v>0.99972402845588249</v>
      </c>
      <c r="X37" s="148">
        <f>H37/(SUM(H31:H32)+H34+SUM(H37:H39))*AtskaiteStatusuTabula!Y54</f>
        <v>24993100.711397063</v>
      </c>
      <c r="Y37" s="31">
        <f t="shared" ref="Y37" si="43">X37/F37</f>
        <v>0.99972402845588249</v>
      </c>
      <c r="Z37" s="31">
        <f t="shared" ref="Z37" si="44">Y37-AD37</f>
        <v>0</v>
      </c>
      <c r="AA37" s="31">
        <f t="shared" ref="AA37" si="45">IFERROR(((X37-AC37)/AC37),0)</f>
        <v>0</v>
      </c>
      <c r="AB37" s="148">
        <v>0</v>
      </c>
      <c r="AC37" s="421">
        <v>24993100.711397063</v>
      </c>
      <c r="AD37" s="424">
        <v>0.99972402845588249</v>
      </c>
      <c r="AE37" s="148">
        <f>H37/(SUM(H31:H32)+H34+SUM(H37:H39))*(AtskaiteStatusuTabula!AF54-AtskaiteStatusuTabula!AG54)</f>
        <v>24674492.867647063</v>
      </c>
      <c r="AF37" s="31">
        <f t="shared" ref="AF37" si="46">IFERROR((AE37/$F37),0)</f>
        <v>0.98697971470588253</v>
      </c>
      <c r="AG37" s="31">
        <f t="shared" ref="AG37" si="47">AF37-AJ37</f>
        <v>0</v>
      </c>
      <c r="AH37" s="31">
        <f t="shared" ref="AH37" si="48">IFERROR(((AE37-AI37)/AI37),0)</f>
        <v>0</v>
      </c>
      <c r="AI37" s="421">
        <v>24674492.867647063</v>
      </c>
      <c r="AJ37" s="424">
        <v>0.98697971470588253</v>
      </c>
      <c r="AL37" s="57">
        <f t="shared" si="23"/>
        <v>0</v>
      </c>
    </row>
    <row r="38" spans="1:39" x14ac:dyDescent="0.3">
      <c r="A38" s="20" t="s">
        <v>260</v>
      </c>
      <c r="B38" s="12" t="str">
        <f>VLOOKUP(A38,saīsinājumi_LV_ENG!A:G,5,FALSE)</f>
        <v>Riska kapitāls</v>
      </c>
      <c r="C38" s="11">
        <v>2</v>
      </c>
      <c r="D38" s="40" t="s">
        <v>344</v>
      </c>
      <c r="E38" s="40" t="s">
        <v>349</v>
      </c>
      <c r="F38" s="35">
        <f>30580000-1380000</f>
        <v>29200000</v>
      </c>
      <c r="G38" s="35">
        <v>0</v>
      </c>
      <c r="H38" s="35">
        <f t="shared" si="26"/>
        <v>29200000</v>
      </c>
      <c r="I38" s="35">
        <v>0</v>
      </c>
      <c r="J38" s="148">
        <f>H38/(SUM(H31:H32)+H34+SUM(H37:H39))*AtskaiteStatusuTabula!K54</f>
        <v>29191941.630911764</v>
      </c>
      <c r="K38" s="31">
        <f t="shared" si="12"/>
        <v>0.99972402845588237</v>
      </c>
      <c r="L38" s="31">
        <f t="shared" si="13"/>
        <v>0</v>
      </c>
      <c r="M38" s="31">
        <f t="shared" si="19"/>
        <v>0</v>
      </c>
      <c r="N38" s="148">
        <v>1</v>
      </c>
      <c r="O38" s="35">
        <v>29191941.630911764</v>
      </c>
      <c r="P38" s="31">
        <v>0.99972402845588237</v>
      </c>
      <c r="Q38" s="148">
        <f>H38/(SUM(H31:H32)+H34+SUM(H37:H39))*AtskaiteStatusuTabula!S54</f>
        <v>29191941.630911764</v>
      </c>
      <c r="R38" s="31">
        <f t="shared" si="24"/>
        <v>0.99972402845588237</v>
      </c>
      <c r="S38" s="31">
        <f t="shared" si="15"/>
        <v>0</v>
      </c>
      <c r="T38" s="31">
        <f t="shared" si="16"/>
        <v>0</v>
      </c>
      <c r="U38" s="148">
        <v>1</v>
      </c>
      <c r="V38" s="35">
        <v>29191941.630911764</v>
      </c>
      <c r="W38" s="31">
        <v>0.99972402845588237</v>
      </c>
      <c r="X38" s="148">
        <f>H38/(SUM(H31:H32)+H34+SUM(H37:H39))*AtskaiteStatusuTabula!Y54</f>
        <v>29191941.630911764</v>
      </c>
      <c r="Y38" s="31">
        <f t="shared" si="25"/>
        <v>0.99972402845588237</v>
      </c>
      <c r="Z38" s="31">
        <f t="shared" si="3"/>
        <v>0</v>
      </c>
      <c r="AA38" s="31">
        <f t="shared" si="18"/>
        <v>0</v>
      </c>
      <c r="AB38" s="148">
        <v>1</v>
      </c>
      <c r="AC38" s="35">
        <v>29191941.630911764</v>
      </c>
      <c r="AD38" s="31">
        <v>0.99972402845588237</v>
      </c>
      <c r="AE38" s="148">
        <f>H38/(SUM(H31:H32)+H34+SUM(H37:H39))*(AtskaiteStatusuTabula!AF54-AtskaiteStatusuTabula!AG54)</f>
        <v>28819807.669411767</v>
      </c>
      <c r="AF38" s="31">
        <f t="shared" si="22"/>
        <v>0.98697971470588242</v>
      </c>
      <c r="AG38" s="31">
        <f t="shared" si="20"/>
        <v>0</v>
      </c>
      <c r="AH38" s="31">
        <f t="shared" si="4"/>
        <v>0</v>
      </c>
      <c r="AI38" s="35">
        <v>28819807.669411767</v>
      </c>
      <c r="AJ38" s="31">
        <v>0.98697971470588242</v>
      </c>
      <c r="AL38" s="57">
        <f t="shared" si="23"/>
        <v>0</v>
      </c>
    </row>
    <row r="39" spans="1:39" x14ac:dyDescent="0.3">
      <c r="A39" s="20" t="s">
        <v>261</v>
      </c>
      <c r="B39" s="12" t="str">
        <f>VLOOKUP(A39,saīsinājumi_LV_ENG!A:G,5,FALSE)</f>
        <v>Tehnoloģiju akselerators</v>
      </c>
      <c r="C39" s="11">
        <v>2</v>
      </c>
      <c r="D39" s="40" t="s">
        <v>344</v>
      </c>
      <c r="E39" s="40" t="s">
        <v>349</v>
      </c>
      <c r="F39" s="35">
        <f>14620000+1380000</f>
        <v>16000000</v>
      </c>
      <c r="G39" s="35">
        <v>0</v>
      </c>
      <c r="H39" s="35">
        <f t="shared" si="26"/>
        <v>16000000</v>
      </c>
      <c r="I39" s="35">
        <v>0</v>
      </c>
      <c r="J39" s="148">
        <f>H39/(SUM(H31:H32)+H34+SUM(H37:H39))*AtskaiteStatusuTabula!K54</f>
        <v>15995584.455294117</v>
      </c>
      <c r="K39" s="31">
        <f t="shared" si="12"/>
        <v>0.99972402845588237</v>
      </c>
      <c r="L39" s="31">
        <f t="shared" si="13"/>
        <v>0</v>
      </c>
      <c r="M39" s="31">
        <f t="shared" si="19"/>
        <v>0</v>
      </c>
      <c r="N39" s="148">
        <v>0</v>
      </c>
      <c r="O39" s="35">
        <v>15995584.455294117</v>
      </c>
      <c r="P39" s="31">
        <v>0.99972402845588237</v>
      </c>
      <c r="Q39" s="148">
        <f>H39/(SUM(H31:H32)+H34+SUM(H37:H39))*AtskaiteStatusuTabula!S54</f>
        <v>15995584.455294117</v>
      </c>
      <c r="R39" s="31">
        <f t="shared" si="24"/>
        <v>0.99972402845588237</v>
      </c>
      <c r="S39" s="31">
        <f t="shared" si="15"/>
        <v>0</v>
      </c>
      <c r="T39" s="31">
        <f t="shared" si="16"/>
        <v>0</v>
      </c>
      <c r="U39" s="148">
        <v>0</v>
      </c>
      <c r="V39" s="35">
        <v>15995584.455294117</v>
      </c>
      <c r="W39" s="31">
        <v>0.99972402845588237</v>
      </c>
      <c r="X39" s="148">
        <f>H39/(SUM(H31:H32)+H34+SUM(H37:H39))*AtskaiteStatusuTabula!Y54</f>
        <v>15995584.455294117</v>
      </c>
      <c r="Y39" s="31">
        <f t="shared" si="25"/>
        <v>0.99972402845588237</v>
      </c>
      <c r="Z39" s="31">
        <f t="shared" si="3"/>
        <v>0</v>
      </c>
      <c r="AA39" s="31">
        <f t="shared" si="18"/>
        <v>0</v>
      </c>
      <c r="AB39" s="148">
        <v>0</v>
      </c>
      <c r="AC39" s="35">
        <v>15995584.455294117</v>
      </c>
      <c r="AD39" s="31">
        <v>0.99972402845588237</v>
      </c>
      <c r="AE39" s="148">
        <f>H39/(SUM(H31:H32)+H34+SUM(H37:H39))*(AtskaiteStatusuTabula!AF54-AtskaiteStatusuTabula!AG54)</f>
        <v>15791675.43529412</v>
      </c>
      <c r="AF39" s="31">
        <f t="shared" si="22"/>
        <v>0.98697971470588253</v>
      </c>
      <c r="AG39" s="31">
        <f t="shared" si="20"/>
        <v>0</v>
      </c>
      <c r="AH39" s="31">
        <f t="shared" si="4"/>
        <v>0</v>
      </c>
      <c r="AI39" s="35">
        <v>15791675.43529412</v>
      </c>
      <c r="AJ39" s="31">
        <v>0.98697971470588253</v>
      </c>
      <c r="AL39" s="57">
        <f t="shared" si="23"/>
        <v>0</v>
      </c>
    </row>
    <row r="40" spans="1:39" x14ac:dyDescent="0.3">
      <c r="A40" s="20" t="s">
        <v>411</v>
      </c>
      <c r="B40" s="12" t="str">
        <f>VLOOKUP(A40,saīsinājumi_LV_ENG!A:G,5,FALSE)</f>
        <v>Klasteru programma</v>
      </c>
      <c r="C40" s="11"/>
      <c r="D40" s="40" t="s">
        <v>344</v>
      </c>
      <c r="E40" s="40" t="s">
        <v>349</v>
      </c>
      <c r="F40" s="35">
        <f>6200001+532852</f>
        <v>6732853</v>
      </c>
      <c r="G40" s="35">
        <v>0</v>
      </c>
      <c r="H40" s="35">
        <f t="shared" si="26"/>
        <v>6732853</v>
      </c>
      <c r="I40" s="35">
        <v>378170.56093902799</v>
      </c>
      <c r="J40" s="35">
        <f>IFERROR((VLOOKUP(A40,AtskaiteStatusuTabula!B:AI,10,0)),0)</f>
        <v>6552472.9299999997</v>
      </c>
      <c r="K40" s="31">
        <f t="shared" si="12"/>
        <v>0.97320896951114177</v>
      </c>
      <c r="L40" s="31">
        <f t="shared" si="13"/>
        <v>0</v>
      </c>
      <c r="M40" s="31">
        <f t="shared" si="19"/>
        <v>0</v>
      </c>
      <c r="N40" s="35">
        <f>IFERROR((VLOOKUP(A40,AtskaiteStatusuTabula!B:AI,17,0)),0)</f>
        <v>14</v>
      </c>
      <c r="O40" s="35">
        <v>6552472.9299999997</v>
      </c>
      <c r="P40" s="31">
        <v>0.97320896951114177</v>
      </c>
      <c r="Q40" s="35">
        <f>IFERROR((VLOOKUP(A40,AtskaiteStatusuTabula!B:AI,18,0)),0)</f>
        <v>6552472.9299999997</v>
      </c>
      <c r="R40" s="31">
        <f t="shared" si="24"/>
        <v>0.97320896951114177</v>
      </c>
      <c r="S40" s="31">
        <f t="shared" si="15"/>
        <v>0</v>
      </c>
      <c r="T40" s="31">
        <f t="shared" si="16"/>
        <v>0</v>
      </c>
      <c r="U40" s="35">
        <f>IFERROR((VLOOKUP(A40,AtskaiteStatusuTabula!B:AI,23,0)),0)</f>
        <v>14</v>
      </c>
      <c r="V40" s="35">
        <v>6552472.9299999997</v>
      </c>
      <c r="W40" s="31">
        <v>0.97320896951114177</v>
      </c>
      <c r="X40" s="35">
        <f>IFERROR((VLOOKUP(A40,AtskaiteStatusuTabula!B:AI,24,0)),0)</f>
        <v>6552472.9299999997</v>
      </c>
      <c r="Y40" s="31">
        <f t="shared" si="25"/>
        <v>0.97320896951114177</v>
      </c>
      <c r="Z40" s="31">
        <f t="shared" si="3"/>
        <v>0</v>
      </c>
      <c r="AA40" s="31">
        <f t="shared" si="18"/>
        <v>0</v>
      </c>
      <c r="AB40" s="35">
        <f>IFERROR((VLOOKUP(A40,AtskaiteStatusuTabula!B:AI,30,0)),0)</f>
        <v>14</v>
      </c>
      <c r="AC40" s="35">
        <v>6552472.9299999997</v>
      </c>
      <c r="AD40" s="31">
        <v>0.97320896951114177</v>
      </c>
      <c r="AE40" s="35">
        <f>IFERROR((VLOOKUP(A40,AtskaiteStatusuTabula!B:AI,31,0)),0)</f>
        <v>6552472.9299999997</v>
      </c>
      <c r="AF40" s="31">
        <f t="shared" si="22"/>
        <v>0.97320896951114177</v>
      </c>
      <c r="AG40" s="31">
        <f t="shared" si="20"/>
        <v>0</v>
      </c>
      <c r="AH40" s="31">
        <f t="shared" si="4"/>
        <v>0</v>
      </c>
      <c r="AI40" s="35">
        <v>6552472.9299999997</v>
      </c>
      <c r="AJ40" s="31">
        <v>0.97320896951114177</v>
      </c>
      <c r="AL40" s="57">
        <f t="shared" si="23"/>
        <v>0</v>
      </c>
    </row>
    <row r="41" spans="1:39" ht="47.25" customHeight="1" x14ac:dyDescent="0.3">
      <c r="A41" s="20" t="s">
        <v>364</v>
      </c>
      <c r="B41" s="12" t="str">
        <f>VLOOKUP(A41,saīsinājumi_LV_ENG!A:G,5,FALSE)</f>
        <v>Starptautiskā konkurētspēja</v>
      </c>
      <c r="C41" s="11"/>
      <c r="D41" s="40" t="s">
        <v>344</v>
      </c>
      <c r="E41" s="40" t="s">
        <v>349</v>
      </c>
      <c r="F41" s="35">
        <f>76841351+1600000</f>
        <v>78441351</v>
      </c>
      <c r="G41" s="35">
        <v>0</v>
      </c>
      <c r="H41" s="35">
        <f t="shared" si="26"/>
        <v>78441351</v>
      </c>
      <c r="I41" s="35">
        <v>3143014</v>
      </c>
      <c r="J41" s="439">
        <f>IFERROR((VLOOKUP(A41,AtskaiteStatusuTabula!B:AI,10,0)),0)-AtskaiteStatusuTabula!L58</f>
        <v>78028970.840000004</v>
      </c>
      <c r="K41" s="31">
        <f t="shared" si="12"/>
        <v>0.99474282180581008</v>
      </c>
      <c r="L41" s="31">
        <f t="shared" si="13"/>
        <v>0</v>
      </c>
      <c r="M41" s="31">
        <f t="shared" si="19"/>
        <v>0</v>
      </c>
      <c r="N41" s="35">
        <f>IFERROR((VLOOKUP(A41,AtskaiteStatusuTabula!B:AI,17,0)),0)</f>
        <v>2</v>
      </c>
      <c r="O41" s="35">
        <v>78028970.840000004</v>
      </c>
      <c r="P41" s="31">
        <v>0.99474282180581008</v>
      </c>
      <c r="Q41" s="439">
        <f>IFERROR((VLOOKUP(A41,AtskaiteStatusuTabula!B:AI,18,0)),0)-AtskaiteStatusuTabula!T58</f>
        <v>78028970.840000004</v>
      </c>
      <c r="R41" s="31">
        <f t="shared" si="24"/>
        <v>0.99474282180581008</v>
      </c>
      <c r="S41" s="31">
        <f t="shared" si="15"/>
        <v>0</v>
      </c>
      <c r="T41" s="31">
        <f t="shared" si="16"/>
        <v>0</v>
      </c>
      <c r="U41" s="35">
        <f>IFERROR((VLOOKUP(A41,AtskaiteStatusuTabula!B:AI,23,0)),0)</f>
        <v>2</v>
      </c>
      <c r="V41" s="35">
        <v>78028970.840000004</v>
      </c>
      <c r="W41" s="31">
        <v>0.99474282180581008</v>
      </c>
      <c r="X41" s="439">
        <f>IFERROR((VLOOKUP(A41,AtskaiteStatusuTabula!B:AJ,24,0)),0)-AtskaiteStatusuTabula!Z58</f>
        <v>78028970.840000004</v>
      </c>
      <c r="Y41" s="31">
        <f t="shared" si="25"/>
        <v>0.99474282180581008</v>
      </c>
      <c r="Z41" s="31">
        <f t="shared" si="3"/>
        <v>0</v>
      </c>
      <c r="AA41" s="31">
        <f t="shared" si="18"/>
        <v>0</v>
      </c>
      <c r="AB41" s="35">
        <f>IFERROR((VLOOKUP(A41,AtskaiteStatusuTabula!B:AI,30,0)),0)</f>
        <v>2</v>
      </c>
      <c r="AC41" s="35">
        <v>78028970.840000004</v>
      </c>
      <c r="AD41" s="31">
        <v>0.99474282180581008</v>
      </c>
      <c r="AE41" s="439">
        <f>IFERROR((VLOOKUP(A41,AtskaiteStatusuTabula!B:AI,31,0)),0)-AtskaiteStatusuTabula!AG58</f>
        <v>73898692.329999998</v>
      </c>
      <c r="AF41" s="31">
        <f t="shared" si="22"/>
        <v>0.94208846976641181</v>
      </c>
      <c r="AG41" s="31">
        <f t="shared" si="20"/>
        <v>0</v>
      </c>
      <c r="AH41" s="31">
        <f t="shared" si="4"/>
        <v>0</v>
      </c>
      <c r="AI41" s="35">
        <v>73898692.329999998</v>
      </c>
      <c r="AJ41" s="31">
        <v>0.94208846976641181</v>
      </c>
      <c r="AL41" s="57">
        <f t="shared" si="23"/>
        <v>0</v>
      </c>
      <c r="AM41" s="464"/>
    </row>
    <row r="42" spans="1:39" ht="37.5" x14ac:dyDescent="0.3">
      <c r="A42" s="20" t="s">
        <v>262</v>
      </c>
      <c r="B42" s="12" t="str">
        <f>VLOOKUP(A42,saīsinājumi_LV_ENG!A:G,5,FALSE)</f>
        <v>Publiskā infrastruktūra uzņēmējdarbībai</v>
      </c>
      <c r="C42" s="11"/>
      <c r="D42" s="40" t="s">
        <v>344</v>
      </c>
      <c r="E42" s="40" t="s">
        <v>350</v>
      </c>
      <c r="F42" s="35">
        <v>59016742</v>
      </c>
      <c r="G42" s="35">
        <v>290005</v>
      </c>
      <c r="H42" s="35">
        <f t="shared" si="26"/>
        <v>59306747</v>
      </c>
      <c r="I42" s="35">
        <v>3599740</v>
      </c>
      <c r="J42" s="35">
        <f>IFERROR((VLOOKUP(A42,AtskaiteStatusuTabula!B:AI,10,0)),0)</f>
        <v>55993158.270000003</v>
      </c>
      <c r="K42" s="31">
        <f t="shared" si="12"/>
        <v>0.94876735604957663</v>
      </c>
      <c r="L42" s="31">
        <f t="shared" si="13"/>
        <v>0</v>
      </c>
      <c r="M42" s="31">
        <f t="shared" si="19"/>
        <v>0</v>
      </c>
      <c r="N42" s="35">
        <f>IFERROR((VLOOKUP(A42,AtskaiteStatusuTabula!B:AI,17,0)),0)</f>
        <v>100</v>
      </c>
      <c r="O42" s="35">
        <v>55993158.270000003</v>
      </c>
      <c r="P42" s="31">
        <v>0.94876735604957663</v>
      </c>
      <c r="Q42" s="35">
        <f>IFERROR((VLOOKUP(A42,AtskaiteStatusuTabula!B:AI,18,0)),0)</f>
        <v>55993158.270000003</v>
      </c>
      <c r="R42" s="31">
        <f t="shared" si="24"/>
        <v>0.94876735604957663</v>
      </c>
      <c r="S42" s="31">
        <f t="shared" si="15"/>
        <v>0</v>
      </c>
      <c r="T42" s="31">
        <f t="shared" si="16"/>
        <v>0</v>
      </c>
      <c r="U42" s="35">
        <f>IFERROR((VLOOKUP(A42,AtskaiteStatusuTabula!B:AI,23,0)),0)</f>
        <v>100</v>
      </c>
      <c r="V42" s="35">
        <v>55993158.270000003</v>
      </c>
      <c r="W42" s="31">
        <v>0.94876735604957663</v>
      </c>
      <c r="X42" s="35">
        <f>IFERROR((VLOOKUP(A42,AtskaiteStatusuTabula!B:AI,24,0)),0)</f>
        <v>55993158.270000003</v>
      </c>
      <c r="Y42" s="31">
        <f t="shared" si="25"/>
        <v>0.94876735604957663</v>
      </c>
      <c r="Z42" s="31">
        <f t="shared" si="3"/>
        <v>0</v>
      </c>
      <c r="AA42" s="31">
        <f t="shared" si="18"/>
        <v>0</v>
      </c>
      <c r="AB42" s="35">
        <f>IFERROR((VLOOKUP(A42,AtskaiteStatusuTabula!B:AI,30,0)),0)</f>
        <v>100</v>
      </c>
      <c r="AC42" s="35">
        <v>55993158.270000003</v>
      </c>
      <c r="AD42" s="31">
        <v>0.94876735604957663</v>
      </c>
      <c r="AE42" s="35">
        <f>IFERROR((VLOOKUP(A42,AtskaiteStatusuTabula!B:AI,31,0)),0)</f>
        <v>56111641.82</v>
      </c>
      <c r="AF42" s="31">
        <f t="shared" si="22"/>
        <v>0.95077498212286948</v>
      </c>
      <c r="AG42" s="31">
        <f t="shared" si="20"/>
        <v>-1.8555392298680307E-3</v>
      </c>
      <c r="AH42" s="31">
        <f t="shared" si="4"/>
        <v>-1.9478057738830388E-3</v>
      </c>
      <c r="AI42" s="35">
        <v>56221149.700000003</v>
      </c>
      <c r="AJ42" s="31">
        <v>0.95263052135273751</v>
      </c>
      <c r="AL42" s="57">
        <f t="shared" si="23"/>
        <v>0</v>
      </c>
    </row>
    <row r="43" spans="1:39" ht="56.25" x14ac:dyDescent="0.3">
      <c r="A43" s="94" t="s">
        <v>417</v>
      </c>
      <c r="B43" s="95" t="str">
        <f>VLOOKUP(A43,saīsinājumi_LV_ENG!A:G,5,FALSE)</f>
        <v>Tiesu un tiesībsargājošo institūciju darbinieku apmācība</v>
      </c>
      <c r="C43" s="96"/>
      <c r="D43" s="97" t="s">
        <v>346</v>
      </c>
      <c r="E43" s="97" t="s">
        <v>353</v>
      </c>
      <c r="F43" s="171">
        <v>9230484</v>
      </c>
      <c r="G43" s="98">
        <v>0</v>
      </c>
      <c r="H43" s="35">
        <f t="shared" si="26"/>
        <v>9230484</v>
      </c>
      <c r="I43" s="35">
        <v>590385</v>
      </c>
      <c r="J43" s="35">
        <f>IFERROR((VLOOKUP(A43,AtskaiteStatusuTabula!B:AI,10,0)),0)</f>
        <v>9219650.8000000007</v>
      </c>
      <c r="K43" s="31">
        <f t="shared" si="12"/>
        <v>0.99882636706807582</v>
      </c>
      <c r="L43" s="31">
        <f t="shared" si="13"/>
        <v>0</v>
      </c>
      <c r="M43" s="31">
        <f t="shared" si="19"/>
        <v>0</v>
      </c>
      <c r="N43" s="35">
        <f>IFERROR((VLOOKUP(A43,AtskaiteStatusuTabula!B:AI,17,0)),0)</f>
        <v>1</v>
      </c>
      <c r="O43" s="98">
        <v>9219650.8000000007</v>
      </c>
      <c r="P43" s="99">
        <v>0.99882636706807582</v>
      </c>
      <c r="Q43" s="35">
        <f>IFERROR((VLOOKUP(A43,AtskaiteStatusuTabula!B:AI,18,0)),0)</f>
        <v>9219650.8000000007</v>
      </c>
      <c r="R43" s="31">
        <f t="shared" si="24"/>
        <v>0.99882636706807582</v>
      </c>
      <c r="S43" s="31">
        <f>R43-W43</f>
        <v>0</v>
      </c>
      <c r="T43" s="31">
        <f t="shared" si="16"/>
        <v>0</v>
      </c>
      <c r="U43" s="35">
        <f>IFERROR((VLOOKUP(A43,AtskaiteStatusuTabula!B:AI,23,0)),0)</f>
        <v>1</v>
      </c>
      <c r="V43" s="35">
        <v>9219650.8000000007</v>
      </c>
      <c r="W43" s="31">
        <v>0.99882636706807582</v>
      </c>
      <c r="X43" s="35">
        <f>IFERROR((VLOOKUP(A43,AtskaiteStatusuTabula!B:AI,24,0)),0)</f>
        <v>9219650.8000000007</v>
      </c>
      <c r="Y43" s="31">
        <f t="shared" si="25"/>
        <v>0.99882636706807582</v>
      </c>
      <c r="Z43" s="31">
        <f t="shared" si="3"/>
        <v>0</v>
      </c>
      <c r="AA43" s="31">
        <f t="shared" si="18"/>
        <v>0</v>
      </c>
      <c r="AB43" s="35">
        <f>IFERROR((VLOOKUP(A43,AtskaiteStatusuTabula!B:AI,30,0)),0)</f>
        <v>1</v>
      </c>
      <c r="AC43" s="35">
        <v>9219650.8000000007</v>
      </c>
      <c r="AD43" s="31">
        <v>0.99882636706807582</v>
      </c>
      <c r="AE43" s="35">
        <f>IFERROR((VLOOKUP(A43,AtskaiteStatusuTabula!B:AI,31,0)),0)</f>
        <v>9219650.8000000007</v>
      </c>
      <c r="AF43" s="31">
        <f t="shared" si="22"/>
        <v>0.99882636706807582</v>
      </c>
      <c r="AG43" s="31">
        <f t="shared" si="20"/>
        <v>0</v>
      </c>
      <c r="AH43" s="31">
        <f t="shared" si="4"/>
        <v>0</v>
      </c>
      <c r="AI43" s="35">
        <v>9219650.8000000007</v>
      </c>
      <c r="AJ43" s="31">
        <v>0.99882636706807582</v>
      </c>
      <c r="AL43" s="57">
        <f t="shared" si="23"/>
        <v>0</v>
      </c>
    </row>
    <row r="44" spans="1:39" ht="37.5" x14ac:dyDescent="0.3">
      <c r="A44" s="94" t="s">
        <v>458</v>
      </c>
      <c r="B44" s="95" t="str">
        <f>VLOOKUP(A44,saīsinājumi_LV_ENG!A:G,5,FALSE)</f>
        <v>Valsts pārvaldes darbinieku apmācības</v>
      </c>
      <c r="C44" s="96"/>
      <c r="D44" s="97" t="s">
        <v>346</v>
      </c>
      <c r="E44" s="97" t="s">
        <v>354</v>
      </c>
      <c r="F44" s="35">
        <v>6954373</v>
      </c>
      <c r="G44" s="98">
        <v>0</v>
      </c>
      <c r="H44" s="35">
        <f>F44+G44</f>
        <v>6954373</v>
      </c>
      <c r="I44" s="35">
        <v>453602</v>
      </c>
      <c r="J44" s="35">
        <f>IFERROR((VLOOKUP(A44,AtskaiteStatusuTabula!B:AI,10,0)),0)</f>
        <v>6888432.3399999999</v>
      </c>
      <c r="K44" s="31">
        <f t="shared" ref="K44" si="49">J44/F44</f>
        <v>0.99051810134429086</v>
      </c>
      <c r="L44" s="31">
        <f t="shared" ref="L44" si="50">K44-P44</f>
        <v>0</v>
      </c>
      <c r="M44" s="31">
        <f t="shared" ref="M44" si="51">IFERROR(((J44-O44)/O44),0)</f>
        <v>0</v>
      </c>
      <c r="N44" s="35">
        <f>IFERROR((VLOOKUP(A44,AtskaiteStatusuTabula!B:AI,17,0)),0)</f>
        <v>4</v>
      </c>
      <c r="O44" s="98">
        <v>6888432.3399999999</v>
      </c>
      <c r="P44" s="99">
        <v>0.99051810134429086</v>
      </c>
      <c r="Q44" s="35">
        <f>IFERROR((VLOOKUP(A44,AtskaiteStatusuTabula!B:AI,18,0)),0)</f>
        <v>6888432.3399999999</v>
      </c>
      <c r="R44" s="31">
        <f t="shared" si="24"/>
        <v>0.99051810134429086</v>
      </c>
      <c r="S44" s="31">
        <f>R44-W44</f>
        <v>0</v>
      </c>
      <c r="T44" s="31">
        <f t="shared" si="16"/>
        <v>0</v>
      </c>
      <c r="U44" s="35">
        <f>IFERROR((VLOOKUP(A44,AtskaiteStatusuTabula!B:AI,23,0)),0)</f>
        <v>4</v>
      </c>
      <c r="V44" s="35">
        <v>6888432.3399999999</v>
      </c>
      <c r="W44" s="99">
        <v>0.99051810134429086</v>
      </c>
      <c r="X44" s="35">
        <f>IFERROR((VLOOKUP(A44,AtskaiteStatusuTabula!B:AI,24,0)),0)</f>
        <v>6888432.3399999999</v>
      </c>
      <c r="Y44" s="31">
        <f t="shared" ref="Y44" si="52">X44/F44</f>
        <v>0.99051810134429086</v>
      </c>
      <c r="Z44" s="31">
        <f t="shared" ref="Z44" si="53">Y44-AD44</f>
        <v>0</v>
      </c>
      <c r="AA44" s="31">
        <f t="shared" ref="AA44" si="54">IFERROR(((X44-AC44)/AC44),0)</f>
        <v>0</v>
      </c>
      <c r="AB44" s="35">
        <f>IFERROR((VLOOKUP(A44,AtskaiteStatusuTabula!B:AI,30,0)),0)</f>
        <v>4</v>
      </c>
      <c r="AC44" s="35">
        <v>6888432.3399999999</v>
      </c>
      <c r="AD44" s="31">
        <v>0.99051810134429086</v>
      </c>
      <c r="AE44" s="35">
        <f>IFERROR((VLOOKUP(A44,AtskaiteStatusuTabula!B:AI,31,0)),0)</f>
        <v>6888432.3399999999</v>
      </c>
      <c r="AF44" s="31">
        <f t="shared" ref="AF44" si="55">IFERROR((AE44/$F44),0)</f>
        <v>0.99051810134429086</v>
      </c>
      <c r="AG44" s="31">
        <f t="shared" ref="AG44" si="56">AF44-AJ44</f>
        <v>0</v>
      </c>
      <c r="AH44" s="31">
        <f t="shared" ref="AH44" si="57">IFERROR(((AE44-AI44)/AI44),0)</f>
        <v>0</v>
      </c>
      <c r="AI44" s="35">
        <v>6888432.3399999999</v>
      </c>
      <c r="AJ44" s="31">
        <v>0.99051810134429086</v>
      </c>
      <c r="AL44" s="57">
        <f t="shared" si="23"/>
        <v>0</v>
      </c>
    </row>
    <row r="45" spans="1:39" x14ac:dyDescent="0.3">
      <c r="A45" s="94" t="s">
        <v>457</v>
      </c>
      <c r="B45" s="95" t="str">
        <f>VLOOKUP(A45,saīsinājumi_LV_ENG!A:G,5,FALSE)</f>
        <v>Sociālā dialoga veidošana</v>
      </c>
      <c r="C45" s="96"/>
      <c r="D45" s="97" t="s">
        <v>346</v>
      </c>
      <c r="E45" s="97" t="s">
        <v>354</v>
      </c>
      <c r="F45" s="98">
        <v>1275000</v>
      </c>
      <c r="G45" s="98">
        <v>0</v>
      </c>
      <c r="H45" s="35">
        <f t="shared" si="26"/>
        <v>1275000</v>
      </c>
      <c r="I45" s="35">
        <v>79286.167571177401</v>
      </c>
      <c r="J45" s="35">
        <f>IFERROR((VLOOKUP(A45,AtskaiteStatusuTabula!B:AI,10,0)),0)</f>
        <v>1273647.76</v>
      </c>
      <c r="K45" s="31">
        <f t="shared" si="12"/>
        <v>0.99893941960784316</v>
      </c>
      <c r="L45" s="31">
        <f t="shared" si="13"/>
        <v>0</v>
      </c>
      <c r="M45" s="31">
        <f t="shared" si="19"/>
        <v>0</v>
      </c>
      <c r="N45" s="35">
        <f>IFERROR((VLOOKUP(A45,AtskaiteStatusuTabula!B:AI,17,0)),0)</f>
        <v>2</v>
      </c>
      <c r="O45" s="98">
        <v>1273647.76</v>
      </c>
      <c r="P45" s="99">
        <v>0.99893941960784316</v>
      </c>
      <c r="Q45" s="35">
        <f>IFERROR((VLOOKUP(A45,AtskaiteStatusuTabula!B:AI,18,0)),0)</f>
        <v>1273647.76</v>
      </c>
      <c r="R45" s="31">
        <f t="shared" si="24"/>
        <v>0.99893941960784316</v>
      </c>
      <c r="S45" s="31">
        <f>R45-W45</f>
        <v>0</v>
      </c>
      <c r="T45" s="31">
        <f t="shared" si="16"/>
        <v>0</v>
      </c>
      <c r="U45" s="35">
        <f>IFERROR((VLOOKUP(A45,AtskaiteStatusuTabula!B:AI,23,0)),0)</f>
        <v>2</v>
      </c>
      <c r="V45" s="35">
        <v>1273647.76</v>
      </c>
      <c r="W45" s="31">
        <v>0.99893941960784316</v>
      </c>
      <c r="X45" s="35">
        <f>IFERROR((VLOOKUP(A45,AtskaiteStatusuTabula!B:AI,24,0)),0)</f>
        <v>1273647.76</v>
      </c>
      <c r="Y45" s="31">
        <f t="shared" si="25"/>
        <v>0.99893941960784316</v>
      </c>
      <c r="Z45" s="31">
        <f t="shared" si="3"/>
        <v>0</v>
      </c>
      <c r="AA45" s="31">
        <f t="shared" si="18"/>
        <v>0</v>
      </c>
      <c r="AB45" s="35">
        <f>IFERROR((VLOOKUP(A45,AtskaiteStatusuTabula!B:AI,30,0)),0)</f>
        <v>2</v>
      </c>
      <c r="AC45" s="35">
        <v>1273647.76</v>
      </c>
      <c r="AD45" s="31">
        <v>0.99893941960784316</v>
      </c>
      <c r="AE45" s="35">
        <f>IFERROR((VLOOKUP(A45,AtskaiteStatusuTabula!B:AI,31,0)),0)</f>
        <v>1273647.76</v>
      </c>
      <c r="AF45" s="31">
        <f t="shared" si="22"/>
        <v>0.99893941960784316</v>
      </c>
      <c r="AG45" s="31">
        <f t="shared" si="20"/>
        <v>0</v>
      </c>
      <c r="AH45" s="31">
        <f t="shared" si="4"/>
        <v>0</v>
      </c>
      <c r="AI45" s="35">
        <v>1273647.76</v>
      </c>
      <c r="AJ45" s="31">
        <v>0.99893941960784316</v>
      </c>
      <c r="AL45" s="57">
        <f t="shared" si="23"/>
        <v>0</v>
      </c>
    </row>
    <row r="46" spans="1:39" ht="56.25" x14ac:dyDescent="0.3">
      <c r="A46" s="94" t="s">
        <v>1242</v>
      </c>
      <c r="B46" s="95" t="str">
        <f>VLOOKUP(A46,saīsinājumi_LV_ENG!A:G,5,FALSE)</f>
        <v>Publisko pakalpojumu pārveides metodoloģijas izstrāde un aprobācija</v>
      </c>
      <c r="C46" s="96"/>
      <c r="D46" s="97" t="s">
        <v>346</v>
      </c>
      <c r="E46" s="97" t="s">
        <v>354</v>
      </c>
      <c r="F46" s="98">
        <v>340000</v>
      </c>
      <c r="G46" s="98">
        <v>0</v>
      </c>
      <c r="H46" s="35">
        <v>340000</v>
      </c>
      <c r="I46" s="35">
        <v>0</v>
      </c>
      <c r="J46" s="35">
        <f>IFERROR((VLOOKUP(A46,AtskaiteStatusuTabula!B:AI,10,0)),0)</f>
        <v>338932.05</v>
      </c>
      <c r="K46" s="31">
        <f t="shared" ref="K46" si="58">J46/F46</f>
        <v>0.99685897058823525</v>
      </c>
      <c r="L46" s="31">
        <f t="shared" ref="L46" si="59">K46-P46</f>
        <v>0</v>
      </c>
      <c r="M46" s="31">
        <f t="shared" ref="M46" si="60">IFERROR(((J46-O46)/O46),0)</f>
        <v>0</v>
      </c>
      <c r="N46" s="35">
        <f>IFERROR((VLOOKUP(A46,AtskaiteStatusuTabula!B:AI,17,0)),0)</f>
        <v>1</v>
      </c>
      <c r="O46" s="98">
        <v>338932.05</v>
      </c>
      <c r="P46" s="99">
        <v>0.99685897058823525</v>
      </c>
      <c r="Q46" s="35">
        <f>IFERROR((VLOOKUP(A46,AtskaiteStatusuTabula!B:AI,18,0)),0)</f>
        <v>338932.05</v>
      </c>
      <c r="R46" s="31">
        <f t="shared" ref="R46" si="61">Q46/F46</f>
        <v>0.99685897058823525</v>
      </c>
      <c r="S46" s="31">
        <f>R46-W46</f>
        <v>0</v>
      </c>
      <c r="T46" s="31">
        <f t="shared" ref="T46" si="62">IFERROR(((Q46-V46)/V46),0)</f>
        <v>0</v>
      </c>
      <c r="U46" s="35">
        <f>IFERROR((VLOOKUP(A46,AtskaiteStatusuTabula!B:AI,23,0)),0)</f>
        <v>1</v>
      </c>
      <c r="V46" s="35">
        <v>338932.05</v>
      </c>
      <c r="W46" s="31">
        <v>0.99685897058823525</v>
      </c>
      <c r="X46" s="35">
        <f>IFERROR((VLOOKUP(A46,AtskaiteStatusuTabula!B:AI,24,0)),0)</f>
        <v>338932.05</v>
      </c>
      <c r="Y46" s="31">
        <f t="shared" ref="Y46" si="63">X46/F46</f>
        <v>0.99685897058823525</v>
      </c>
      <c r="Z46" s="31">
        <f t="shared" ref="Z46" si="64">Y46-AD46</f>
        <v>0</v>
      </c>
      <c r="AA46" s="31">
        <f t="shared" ref="AA46" si="65">IFERROR(((X46-AC46)/AC46),0)</f>
        <v>0</v>
      </c>
      <c r="AB46" s="35">
        <f>IFERROR((VLOOKUP(A46,AtskaiteStatusuTabula!B:AI,30,0)),0)</f>
        <v>1</v>
      </c>
      <c r="AC46" s="35">
        <v>338932.05</v>
      </c>
      <c r="AD46" s="31">
        <v>0.99685897058823525</v>
      </c>
      <c r="AE46" s="35">
        <f>IFERROR((VLOOKUP(A46,AtskaiteStatusuTabula!B:AI,31,0)),0)</f>
        <v>338932.05</v>
      </c>
      <c r="AF46" s="31">
        <f t="shared" ref="AF46" si="66">IFERROR((AE46/$F46),0)</f>
        <v>0.99685897058823525</v>
      </c>
      <c r="AG46" s="31">
        <f t="shared" ref="AG46" si="67">AF46-AJ46</f>
        <v>0</v>
      </c>
      <c r="AH46" s="31">
        <f t="shared" ref="AH46" si="68">IFERROR(((AE46-AI46)/AI46),0)</f>
        <v>0</v>
      </c>
      <c r="AI46" s="35">
        <v>338932.05</v>
      </c>
      <c r="AJ46" s="31">
        <v>0.99685897058823525</v>
      </c>
      <c r="AL46" s="57">
        <f t="shared" si="23"/>
        <v>0</v>
      </c>
    </row>
    <row r="47" spans="1:39" ht="37.5" x14ac:dyDescent="0.3">
      <c r="A47" s="21" t="s">
        <v>29</v>
      </c>
      <c r="B47" s="10" t="str">
        <f>VLOOKUP(A47,saīsinājumi_LV_ENG!A:G,5,FALSE)</f>
        <v>Videi draudzīga ekonomika</v>
      </c>
      <c r="C47" s="10"/>
      <c r="D47" s="42"/>
      <c r="E47" s="42"/>
      <c r="F47" s="37">
        <f>SUM(F48:F55)</f>
        <v>645831597</v>
      </c>
      <c r="G47" s="37">
        <f>SUM(G48:G53)+SUM(G54:G55)</f>
        <v>61392669</v>
      </c>
      <c r="H47" s="37">
        <f>SUM(H48:H53)+SUM(H54:H55)</f>
        <v>707224266</v>
      </c>
      <c r="I47" s="37">
        <f>SUM(I48:I55)</f>
        <v>15543636.724113045</v>
      </c>
      <c r="J47" s="37">
        <f>SUM(J48:J53)+SUM(J54:J55)</f>
        <v>639013769.3900001</v>
      </c>
      <c r="K47" s="33">
        <f t="shared" si="12"/>
        <v>0.98944333531888207</v>
      </c>
      <c r="L47" s="33">
        <f t="shared" si="13"/>
        <v>0</v>
      </c>
      <c r="M47" s="33">
        <f t="shared" si="19"/>
        <v>0</v>
      </c>
      <c r="N47" s="37">
        <f>SUM(N48:N53)+SUM(N54:N55)</f>
        <v>504</v>
      </c>
      <c r="O47" s="37">
        <v>639013769.3900001</v>
      </c>
      <c r="P47" s="33">
        <v>0.98944333531888207</v>
      </c>
      <c r="Q47" s="37">
        <f>SUM(Q48:Q53)+SUM(Q54:Q55)</f>
        <v>639013769.3900001</v>
      </c>
      <c r="R47" s="33">
        <f t="shared" si="24"/>
        <v>0.98944333531888207</v>
      </c>
      <c r="S47" s="33">
        <f t="shared" si="15"/>
        <v>0</v>
      </c>
      <c r="T47" s="33">
        <f t="shared" si="16"/>
        <v>0</v>
      </c>
      <c r="U47" s="37">
        <f>SUM(U48:U53)+SUM(U54:U55)</f>
        <v>504</v>
      </c>
      <c r="V47" s="37">
        <v>639013769.3900001</v>
      </c>
      <c r="W47" s="33">
        <v>0.98944333531888207</v>
      </c>
      <c r="X47" s="37">
        <f>SUM(X48:X53)+SUM(X54:X55)</f>
        <v>639013769.3900001</v>
      </c>
      <c r="Y47" s="33">
        <f t="shared" si="25"/>
        <v>0.98944333531888207</v>
      </c>
      <c r="Z47" s="33">
        <f t="shared" si="3"/>
        <v>0</v>
      </c>
      <c r="AA47" s="33">
        <f t="shared" si="18"/>
        <v>0</v>
      </c>
      <c r="AB47" s="37">
        <f>SUM(AB48:AB53)+SUM(AB54:AB55)</f>
        <v>504</v>
      </c>
      <c r="AC47" s="37">
        <v>639013769.3900001</v>
      </c>
      <c r="AD47" s="33">
        <v>0.98944333531888207</v>
      </c>
      <c r="AE47" s="37">
        <f>SUM(AE48:AE53)+SUM(AE54:AE55)</f>
        <v>639486621.72000003</v>
      </c>
      <c r="AF47" s="33">
        <f t="shared" si="22"/>
        <v>0.99017549573375863</v>
      </c>
      <c r="AG47" s="33">
        <f t="shared" si="20"/>
        <v>1.3123173346385464E-4</v>
      </c>
      <c r="AH47" s="33">
        <f t="shared" si="4"/>
        <v>1.3255138000960246E-4</v>
      </c>
      <c r="AI47" s="37">
        <v>639401868.12</v>
      </c>
      <c r="AJ47" s="33">
        <v>0.99004426400029477</v>
      </c>
      <c r="AL47" s="57">
        <f t="shared" si="23"/>
        <v>0</v>
      </c>
    </row>
    <row r="48" spans="1:39" ht="56.25" x14ac:dyDescent="0.3">
      <c r="A48" s="20" t="s">
        <v>264</v>
      </c>
      <c r="B48" s="12" t="str">
        <f>VLOOKUP(A48,saīsinājumi_LV_ENG!A:G,5,FALSE)</f>
        <v>Apstrādes rūpniecības uzņēmumu energoefektivitāte</v>
      </c>
      <c r="C48" s="11">
        <v>4</v>
      </c>
      <c r="D48" s="40" t="s">
        <v>345</v>
      </c>
      <c r="E48" s="40" t="s">
        <v>349</v>
      </c>
      <c r="F48" s="35">
        <f>23733826-3432427</f>
        <v>20301399</v>
      </c>
      <c r="G48" s="35">
        <v>0</v>
      </c>
      <c r="H48" s="35">
        <f t="shared" ref="H48:H55" si="69">F48+G48</f>
        <v>20301399</v>
      </c>
      <c r="I48" s="98">
        <v>0</v>
      </c>
      <c r="J48" s="35">
        <f>IFERROR((VLOOKUP(A48,AtskaiteStatusuTabula!B:AI,10,0)),0)</f>
        <v>18616425.510000002</v>
      </c>
      <c r="K48" s="31">
        <f t="shared" si="12"/>
        <v>0.9170020997075129</v>
      </c>
      <c r="L48" s="31">
        <f t="shared" si="13"/>
        <v>0</v>
      </c>
      <c r="M48" s="31">
        <f t="shared" si="19"/>
        <v>0</v>
      </c>
      <c r="N48" s="35">
        <f>IFERROR((VLOOKUP(A48,AtskaiteStatusuTabula!B:AI,17,0)),0)</f>
        <v>69</v>
      </c>
      <c r="O48" s="35">
        <v>18616425.510000002</v>
      </c>
      <c r="P48" s="31">
        <v>0.9170020997075129</v>
      </c>
      <c r="Q48" s="35">
        <f>IFERROR((VLOOKUP(A48,AtskaiteStatusuTabula!B:AI,18,0)),0)</f>
        <v>18616425.510000002</v>
      </c>
      <c r="R48" s="31">
        <f t="shared" si="24"/>
        <v>0.9170020997075129</v>
      </c>
      <c r="S48" s="31">
        <f t="shared" si="15"/>
        <v>0</v>
      </c>
      <c r="T48" s="31">
        <f t="shared" si="16"/>
        <v>0</v>
      </c>
      <c r="U48" s="35">
        <f>IFERROR((VLOOKUP(A48,AtskaiteStatusuTabula!B:AI,23,0)),0)</f>
        <v>69</v>
      </c>
      <c r="V48" s="35">
        <v>18616425.510000002</v>
      </c>
      <c r="W48" s="31">
        <v>0.9170020997075129</v>
      </c>
      <c r="X48" s="35">
        <f>IFERROR((VLOOKUP(A48,AtskaiteStatusuTabula!B:AI,24,0)),0)</f>
        <v>18616425.510000002</v>
      </c>
      <c r="Y48" s="31">
        <f t="shared" si="25"/>
        <v>0.9170020997075129</v>
      </c>
      <c r="Z48" s="31">
        <f t="shared" si="3"/>
        <v>0</v>
      </c>
      <c r="AA48" s="31">
        <f t="shared" si="18"/>
        <v>0</v>
      </c>
      <c r="AB48" s="35">
        <f>IFERROR((VLOOKUP(A48,AtskaiteStatusuTabula!B:AI,30,0)),0)</f>
        <v>69</v>
      </c>
      <c r="AC48" s="35">
        <v>18616425.510000002</v>
      </c>
      <c r="AD48" s="31">
        <v>0.9170020997075129</v>
      </c>
      <c r="AE48" s="35">
        <f>IFERROR((VLOOKUP(A48,AtskaiteStatusuTabula!B:AI,31,0)),0)</f>
        <v>18616425.510000002</v>
      </c>
      <c r="AF48" s="31">
        <f t="shared" si="22"/>
        <v>0.9170020997075129</v>
      </c>
      <c r="AG48" s="31">
        <f t="shared" si="20"/>
        <v>0</v>
      </c>
      <c r="AH48" s="31">
        <f t="shared" si="4"/>
        <v>0</v>
      </c>
      <c r="AI48" s="35">
        <v>18616425.510000002</v>
      </c>
      <c r="AJ48" s="31">
        <v>0.9170020997075129</v>
      </c>
      <c r="AL48" s="57">
        <f t="shared" si="23"/>
        <v>0</v>
      </c>
    </row>
    <row r="49" spans="1:38" ht="37.5" x14ac:dyDescent="0.3">
      <c r="A49" s="20" t="s">
        <v>265</v>
      </c>
      <c r="B49" s="12" t="str">
        <f>VLOOKUP(A49,saīsinājumi_LV_ENG!A:G,5,FALSE)</f>
        <v xml:space="preserve">Daudzdzīvokļu māju energoefektivitāte </v>
      </c>
      <c r="C49" s="11"/>
      <c r="D49" s="40" t="s">
        <v>344</v>
      </c>
      <c r="E49" s="40" t="s">
        <v>349</v>
      </c>
      <c r="F49" s="35">
        <v>141493317</v>
      </c>
      <c r="G49" s="35">
        <v>0</v>
      </c>
      <c r="H49" s="35">
        <f>F49+G49</f>
        <v>141493317</v>
      </c>
      <c r="I49" s="35">
        <v>0</v>
      </c>
      <c r="J49" s="471">
        <f>170915418.83-J155</f>
        <v>141432424.83000001</v>
      </c>
      <c r="K49" s="31">
        <f t="shared" si="12"/>
        <v>0.99956964631764211</v>
      </c>
      <c r="L49" s="31">
        <f t="shared" ref="L49:L86" si="70">K49-P49</f>
        <v>0</v>
      </c>
      <c r="M49" s="31">
        <f t="shared" si="19"/>
        <v>0</v>
      </c>
      <c r="N49" s="471">
        <v>2</v>
      </c>
      <c r="O49" s="439">
        <v>141432424.83000001</v>
      </c>
      <c r="P49" s="440">
        <v>0.99956964631764211</v>
      </c>
      <c r="Q49" s="471">
        <f>170915418.83-Q155</f>
        <v>141432424.83000001</v>
      </c>
      <c r="R49" s="31">
        <f t="shared" ref="R49:R86" si="71">Q49/F49</f>
        <v>0.99956964631764211</v>
      </c>
      <c r="S49" s="31">
        <f t="shared" ref="S49:S86" si="72">R49-W49</f>
        <v>0</v>
      </c>
      <c r="T49" s="31">
        <f t="shared" si="16"/>
        <v>0</v>
      </c>
      <c r="U49" s="471">
        <v>2</v>
      </c>
      <c r="V49" s="439">
        <v>141432424.83000001</v>
      </c>
      <c r="W49" s="440">
        <v>0.99956964631764211</v>
      </c>
      <c r="X49" s="471">
        <f>170915418.83-X155</f>
        <v>141432424.83000001</v>
      </c>
      <c r="Y49" s="31">
        <f t="shared" ref="Y49:Y86" si="73">X49/F49</f>
        <v>0.99956964631764211</v>
      </c>
      <c r="Z49" s="31">
        <f t="shared" si="3"/>
        <v>0</v>
      </c>
      <c r="AA49" s="31">
        <f t="shared" si="18"/>
        <v>0</v>
      </c>
      <c r="AB49" s="471">
        <v>2</v>
      </c>
      <c r="AC49" s="439">
        <v>141432424.83000001</v>
      </c>
      <c r="AD49" s="440">
        <v>0.99956964631764211</v>
      </c>
      <c r="AE49" s="439">
        <f>IFERROR((VLOOKUP(A49,AtskaiteStatusuTabula!B:AI,31,0)),0)-AE155</f>
        <v>141017107.65000001</v>
      </c>
      <c r="AF49" s="31">
        <f t="shared" si="22"/>
        <v>0.99663440394149505</v>
      </c>
      <c r="AG49" s="31">
        <f t="shared" si="20"/>
        <v>0</v>
      </c>
      <c r="AH49" s="31">
        <f t="shared" si="4"/>
        <v>0</v>
      </c>
      <c r="AI49" s="35">
        <v>141017107.65000001</v>
      </c>
      <c r="AJ49" s="31">
        <v>0.99663440394149505</v>
      </c>
      <c r="AL49" s="57">
        <f t="shared" si="23"/>
        <v>0</v>
      </c>
    </row>
    <row r="50" spans="1:38" ht="37.5" x14ac:dyDescent="0.3">
      <c r="A50" s="20" t="s">
        <v>266</v>
      </c>
      <c r="B50" s="12" t="str">
        <f>VLOOKUP(A50,saīsinājumi_LV_ENG!A:G,5,FALSE)</f>
        <v>Valsts ēku energoefektivitāte</v>
      </c>
      <c r="C50" s="11"/>
      <c r="D50" s="40" t="s">
        <v>344</v>
      </c>
      <c r="E50" s="40" t="s">
        <v>349</v>
      </c>
      <c r="F50" s="35">
        <v>93357972</v>
      </c>
      <c r="G50" s="35">
        <v>0</v>
      </c>
      <c r="H50" s="35">
        <f t="shared" si="69"/>
        <v>93357972</v>
      </c>
      <c r="I50" s="35">
        <v>3192016</v>
      </c>
      <c r="J50" s="35">
        <f>IFERROR((VLOOKUP(A50,AtskaiteStatusuTabula!B:AI,10,0)),0)</f>
        <v>85671599.900000006</v>
      </c>
      <c r="K50" s="31">
        <f t="shared" si="12"/>
        <v>0.91766774775270399</v>
      </c>
      <c r="L50" s="31">
        <f t="shared" si="70"/>
        <v>0</v>
      </c>
      <c r="M50" s="31">
        <f t="shared" si="19"/>
        <v>0</v>
      </c>
      <c r="N50" s="35">
        <f>IFERROR((VLOOKUP(A50,AtskaiteStatusuTabula!B:AI,17,0)),0)</f>
        <v>128</v>
      </c>
      <c r="O50" s="35">
        <v>85671599.900000006</v>
      </c>
      <c r="P50" s="31">
        <v>0.91766774775270399</v>
      </c>
      <c r="Q50" s="35">
        <f>IFERROR((VLOOKUP(A50,AtskaiteStatusuTabula!B:AI,18,0)),0)</f>
        <v>85671599.900000006</v>
      </c>
      <c r="R50" s="31">
        <f t="shared" si="71"/>
        <v>0.91766774775270399</v>
      </c>
      <c r="S50" s="31">
        <f t="shared" si="72"/>
        <v>0</v>
      </c>
      <c r="T50" s="31">
        <f t="shared" si="16"/>
        <v>0</v>
      </c>
      <c r="U50" s="35">
        <f>IFERROR((VLOOKUP(A50,AtskaiteStatusuTabula!B:AI,23,0)),0)</f>
        <v>128</v>
      </c>
      <c r="V50" s="35">
        <v>85671599.900000006</v>
      </c>
      <c r="W50" s="31">
        <v>0.91766774775270399</v>
      </c>
      <c r="X50" s="35">
        <f>IFERROR((VLOOKUP(A50,AtskaiteStatusuTabula!B:AI,24,0)),0)</f>
        <v>85671599.900000006</v>
      </c>
      <c r="Y50" s="31">
        <f t="shared" si="73"/>
        <v>0.91766774775270399</v>
      </c>
      <c r="Z50" s="31">
        <f t="shared" si="3"/>
        <v>0</v>
      </c>
      <c r="AA50" s="31">
        <f t="shared" si="18"/>
        <v>0</v>
      </c>
      <c r="AB50" s="35">
        <f>IFERROR((VLOOKUP(A50,AtskaiteStatusuTabula!B:AI,30,0)),0)</f>
        <v>128</v>
      </c>
      <c r="AC50" s="35">
        <v>85671599.900000006</v>
      </c>
      <c r="AD50" s="31">
        <v>0.91766774775270399</v>
      </c>
      <c r="AE50" s="35">
        <f>IFERROR((VLOOKUP(A50,AtskaiteStatusuTabula!B:AI,31,0)),0)</f>
        <v>84999074.909999996</v>
      </c>
      <c r="AF50" s="31">
        <f t="shared" si="22"/>
        <v>0.91046402453986464</v>
      </c>
      <c r="AG50" s="31">
        <f t="shared" ref="AG50:AG87" si="74">AF50-AJ50</f>
        <v>0</v>
      </c>
      <c r="AH50" s="31">
        <f t="shared" si="4"/>
        <v>0</v>
      </c>
      <c r="AI50" s="35">
        <v>84999074.909999996</v>
      </c>
      <c r="AJ50" s="31">
        <v>0.91046402453986464</v>
      </c>
      <c r="AL50" s="57">
        <f t="shared" si="23"/>
        <v>0</v>
      </c>
    </row>
    <row r="51" spans="1:38" ht="37.5" x14ac:dyDescent="0.3">
      <c r="A51" s="20" t="s">
        <v>267</v>
      </c>
      <c r="B51" s="12" t="str">
        <f>VLOOKUP(A51,saīsinājumi_LV_ENG!A:G,5,FALSE)</f>
        <v>Pašvaldību ēku energoefektivitāte</v>
      </c>
      <c r="C51" s="323"/>
      <c r="D51" s="40" t="s">
        <v>344</v>
      </c>
      <c r="E51" s="40" t="s">
        <v>350</v>
      </c>
      <c r="F51" s="35">
        <v>49111495</v>
      </c>
      <c r="G51" s="35">
        <v>4842669</v>
      </c>
      <c r="H51" s="35">
        <f t="shared" si="69"/>
        <v>53954164</v>
      </c>
      <c r="I51" s="35">
        <v>1914863.8170615549</v>
      </c>
      <c r="J51" s="439">
        <f>IFERROR((VLOOKUP(A51,AtskaiteStatusuTabula!B:AI,10,0)),0)-J161</f>
        <v>50395829.879999995</v>
      </c>
      <c r="K51" s="31">
        <f t="shared" si="12"/>
        <v>1.0261514107847867</v>
      </c>
      <c r="L51" s="31">
        <f t="shared" si="70"/>
        <v>0</v>
      </c>
      <c r="M51" s="31">
        <f t="shared" si="19"/>
        <v>0</v>
      </c>
      <c r="N51" s="439">
        <f>IFERROR((VLOOKUP(A51,AtskaiteStatusuTabula!B:AI,17,0)),0)-N161</f>
        <v>157</v>
      </c>
      <c r="O51" s="439">
        <v>50395829.879999995</v>
      </c>
      <c r="P51" s="440">
        <v>1.0261514107847867</v>
      </c>
      <c r="Q51" s="439">
        <f>IFERROR((VLOOKUP(A51,AtskaiteStatusuTabula!B:AI,18,0)),0)-Q161</f>
        <v>50395829.879999995</v>
      </c>
      <c r="R51" s="31">
        <f t="shared" si="71"/>
        <v>1.0261514107847867</v>
      </c>
      <c r="S51" s="31">
        <f t="shared" si="72"/>
        <v>0</v>
      </c>
      <c r="T51" s="31">
        <f t="shared" si="16"/>
        <v>0</v>
      </c>
      <c r="U51" s="439">
        <f>IFERROR((VLOOKUP(A51,AtskaiteStatusuTabula!B:AI,23,0)),0)-U161</f>
        <v>157</v>
      </c>
      <c r="V51" s="439">
        <v>50395829.879999995</v>
      </c>
      <c r="W51" s="440">
        <v>1.0261514107847867</v>
      </c>
      <c r="X51" s="439">
        <f>IFERROR((VLOOKUP(A51,AtskaiteStatusuTabula!B:AI,24,0)),0)-X161</f>
        <v>50395829.879999995</v>
      </c>
      <c r="Y51" s="31">
        <f t="shared" si="73"/>
        <v>1.0261514107847867</v>
      </c>
      <c r="Z51" s="31">
        <f t="shared" si="3"/>
        <v>0</v>
      </c>
      <c r="AA51" s="31">
        <f t="shared" si="18"/>
        <v>0</v>
      </c>
      <c r="AB51" s="439">
        <f>IFERROR((VLOOKUP(A51,AtskaiteStatusuTabula!B:AI,30,0)),0)-AB161</f>
        <v>157</v>
      </c>
      <c r="AC51" s="439">
        <v>50395829.879999995</v>
      </c>
      <c r="AD51" s="440">
        <v>1.0261514107847867</v>
      </c>
      <c r="AE51" s="439">
        <f>IFERROR((VLOOKUP(A51,AtskaiteStatusuTabula!B:AI,31,0)),0)-AE161</f>
        <v>50306637.239999995</v>
      </c>
      <c r="AF51" s="31">
        <f t="shared" si="22"/>
        <v>1.0243352852524648</v>
      </c>
      <c r="AG51" s="31">
        <f>AF51-AJ51</f>
        <v>0</v>
      </c>
      <c r="AH51" s="31">
        <f t="shared" si="4"/>
        <v>0</v>
      </c>
      <c r="AI51" s="35">
        <v>50306637.239999995</v>
      </c>
      <c r="AJ51" s="31">
        <v>1.0243352852524648</v>
      </c>
      <c r="AL51" s="57">
        <f t="shared" si="23"/>
        <v>0</v>
      </c>
    </row>
    <row r="52" spans="1:38" ht="56.25" x14ac:dyDescent="0.3">
      <c r="A52" s="20" t="s">
        <v>268</v>
      </c>
      <c r="B52" s="12" t="str">
        <f>VLOOKUP(A52,saīsinājumi_LV_ENG!A:G,5,FALSE)</f>
        <v xml:space="preserve"> Centralizētās siltumapgādes energoefektivitāte</v>
      </c>
      <c r="C52" s="11"/>
      <c r="D52" s="40" t="s">
        <v>345</v>
      </c>
      <c r="E52" s="40" t="s">
        <v>349</v>
      </c>
      <c r="F52" s="35">
        <v>55030511</v>
      </c>
      <c r="G52" s="35">
        <v>56550000</v>
      </c>
      <c r="H52" s="35">
        <f t="shared" si="69"/>
        <v>111580511</v>
      </c>
      <c r="I52" s="35">
        <v>3290568</v>
      </c>
      <c r="J52" s="35">
        <f>IFERROR((VLOOKUP(A52,AtskaiteStatusuTabula!B:AI,10,0)),0)</f>
        <v>71161229.680000007</v>
      </c>
      <c r="K52" s="31">
        <f t="shared" si="12"/>
        <v>1.2931231854270808</v>
      </c>
      <c r="L52" s="31">
        <f t="shared" si="70"/>
        <v>0</v>
      </c>
      <c r="M52" s="31">
        <f t="shared" si="19"/>
        <v>0</v>
      </c>
      <c r="N52" s="35">
        <f>IFERROR((VLOOKUP(A52,AtskaiteStatusuTabula!B:AI,17,0)),0)</f>
        <v>125</v>
      </c>
      <c r="O52" s="35">
        <v>71161229.680000007</v>
      </c>
      <c r="P52" s="31">
        <v>1.2931231854270808</v>
      </c>
      <c r="Q52" s="35">
        <f>IFERROR((VLOOKUP(A52,AtskaiteStatusuTabula!B:AI,18,0)),0)</f>
        <v>71161229.680000007</v>
      </c>
      <c r="R52" s="31">
        <f t="shared" si="71"/>
        <v>1.2931231854270808</v>
      </c>
      <c r="S52" s="31">
        <f t="shared" si="72"/>
        <v>0</v>
      </c>
      <c r="T52" s="31">
        <f t="shared" si="16"/>
        <v>0</v>
      </c>
      <c r="U52" s="35">
        <f>IFERROR((VLOOKUP(A52,AtskaiteStatusuTabula!B:AI,23,0)),0)</f>
        <v>125</v>
      </c>
      <c r="V52" s="35">
        <v>71161229.680000007</v>
      </c>
      <c r="W52" s="31">
        <v>1.2931231854270808</v>
      </c>
      <c r="X52" s="35">
        <f>IFERROR((VLOOKUP(A52,AtskaiteStatusuTabula!B:AI,24,0)),0)</f>
        <v>71161229.680000007</v>
      </c>
      <c r="Y52" s="31">
        <f t="shared" si="73"/>
        <v>1.2931231854270808</v>
      </c>
      <c r="Z52" s="31">
        <f t="shared" si="3"/>
        <v>0</v>
      </c>
      <c r="AA52" s="31">
        <f t="shared" si="18"/>
        <v>0</v>
      </c>
      <c r="AB52" s="35">
        <f>IFERROR((VLOOKUP(A52,AtskaiteStatusuTabula!B:AI,30,0)),0)</f>
        <v>125</v>
      </c>
      <c r="AC52" s="35">
        <v>71161229.680000007</v>
      </c>
      <c r="AD52" s="31">
        <v>1.2931231854270808</v>
      </c>
      <c r="AE52" s="35">
        <f>IFERROR((VLOOKUP(A52,AtskaiteStatusuTabula!B:AI,31,0)),0)</f>
        <v>72790058.930000007</v>
      </c>
      <c r="AF52" s="31">
        <f t="shared" si="22"/>
        <v>1.3227218429790704</v>
      </c>
      <c r="AG52" s="31">
        <f t="shared" si="74"/>
        <v>-1.5318774706640781E-4</v>
      </c>
      <c r="AH52" s="31">
        <f t="shared" si="4"/>
        <v>-1.1579910687577508E-4</v>
      </c>
      <c r="AI52" s="35">
        <v>72798488.930000007</v>
      </c>
      <c r="AJ52" s="31">
        <v>1.3228750307261368</v>
      </c>
      <c r="AL52" s="57">
        <f t="shared" si="23"/>
        <v>0</v>
      </c>
    </row>
    <row r="53" spans="1:38" ht="37.5" x14ac:dyDescent="0.3">
      <c r="A53" s="20" t="s">
        <v>269</v>
      </c>
      <c r="B53" s="12" t="str">
        <f>VLOOKUP(A53,saīsinājumi_LV_ENG!A:G,5,FALSE)</f>
        <v>Elektro transportlīdzekļu infrastruktūra</v>
      </c>
      <c r="C53" s="299"/>
      <c r="D53" s="40" t="s">
        <v>344</v>
      </c>
      <c r="E53" s="40" t="s">
        <v>347</v>
      </c>
      <c r="F53" s="35">
        <v>6631445</v>
      </c>
      <c r="G53" s="35">
        <v>0</v>
      </c>
      <c r="H53" s="35">
        <f t="shared" si="69"/>
        <v>6631445</v>
      </c>
      <c r="I53" s="35">
        <v>432614.80372968898</v>
      </c>
      <c r="J53" s="35">
        <f>IFERROR((VLOOKUP(A53,AtskaiteStatusuTabula!B:AI,10,0)),0)</f>
        <v>6406845.4299999997</v>
      </c>
      <c r="K53" s="31">
        <f t="shared" si="12"/>
        <v>0.96613112677553681</v>
      </c>
      <c r="L53" s="31">
        <f t="shared" si="70"/>
        <v>0</v>
      </c>
      <c r="M53" s="31">
        <f t="shared" si="19"/>
        <v>0</v>
      </c>
      <c r="N53" s="35">
        <f>IFERROR((VLOOKUP(A53,AtskaiteStatusuTabula!B:AI,17,0)),0)</f>
        <v>1</v>
      </c>
      <c r="O53" s="35">
        <v>6406845.4299999997</v>
      </c>
      <c r="P53" s="31">
        <v>0.96613112677553681</v>
      </c>
      <c r="Q53" s="35">
        <f>IFERROR((VLOOKUP(A53,AtskaiteStatusuTabula!B:AI,18,0)),0)</f>
        <v>6406845.4299999997</v>
      </c>
      <c r="R53" s="31">
        <f t="shared" si="71"/>
        <v>0.96613112677553681</v>
      </c>
      <c r="S53" s="31">
        <f t="shared" si="72"/>
        <v>0</v>
      </c>
      <c r="T53" s="31">
        <f t="shared" si="16"/>
        <v>0</v>
      </c>
      <c r="U53" s="35">
        <f>IFERROR((VLOOKUP(A53,AtskaiteStatusuTabula!B:AI,23,0)),0)</f>
        <v>1</v>
      </c>
      <c r="V53" s="35">
        <v>6406845.4299999997</v>
      </c>
      <c r="W53" s="31">
        <v>0.96613112677553681</v>
      </c>
      <c r="X53" s="35">
        <f>IFERROR((VLOOKUP(A53,AtskaiteStatusuTabula!B:AI,24,0)),0)</f>
        <v>6406845.4299999997</v>
      </c>
      <c r="Y53" s="31">
        <f t="shared" si="73"/>
        <v>0.96613112677553681</v>
      </c>
      <c r="Z53" s="31">
        <f t="shared" si="3"/>
        <v>0</v>
      </c>
      <c r="AA53" s="31">
        <f t="shared" si="18"/>
        <v>0</v>
      </c>
      <c r="AB53" s="35">
        <f>IFERROR((VLOOKUP(A53,AtskaiteStatusuTabula!B:AI,30,0)),0)</f>
        <v>1</v>
      </c>
      <c r="AC53" s="35">
        <v>6406845.4299999997</v>
      </c>
      <c r="AD53" s="31">
        <v>0.96613112677553681</v>
      </c>
      <c r="AE53" s="35">
        <f>IFERROR((VLOOKUP(A53,AtskaiteStatusuTabula!B:AI,31,0)),0)</f>
        <v>6406845.4299999997</v>
      </c>
      <c r="AF53" s="31">
        <f t="shared" si="22"/>
        <v>0.96613112677553681</v>
      </c>
      <c r="AG53" s="31">
        <f t="shared" si="74"/>
        <v>0</v>
      </c>
      <c r="AH53" s="31">
        <f t="shared" si="4"/>
        <v>0</v>
      </c>
      <c r="AI53" s="35">
        <v>6406845.4299999997</v>
      </c>
      <c r="AJ53" s="31">
        <v>0.96613112677553681</v>
      </c>
      <c r="AL53" s="57">
        <f t="shared" si="23"/>
        <v>0</v>
      </c>
    </row>
    <row r="54" spans="1:38" ht="37.5" x14ac:dyDescent="0.3">
      <c r="A54" s="20" t="s">
        <v>270</v>
      </c>
      <c r="B54" s="12" t="str">
        <f>VLOOKUP(A54,saīsinājumi_LV_ENG!A:G,5,FALSE)</f>
        <v>Tramvaji un elektrovilcieni</v>
      </c>
      <c r="C54" s="435"/>
      <c r="D54" s="44" t="s">
        <v>345</v>
      </c>
      <c r="E54" s="40" t="s">
        <v>347</v>
      </c>
      <c r="F54" s="35">
        <v>235002439</v>
      </c>
      <c r="G54" s="35">
        <v>0</v>
      </c>
      <c r="H54" s="35">
        <f t="shared" si="69"/>
        <v>235002439</v>
      </c>
      <c r="I54" s="35">
        <v>5939202.99873742</v>
      </c>
      <c r="J54" s="35">
        <f>IFERROR((VLOOKUP(A54,AtskaiteStatusuTabula!B:AI,10,0)),0)</f>
        <v>225437164.83000001</v>
      </c>
      <c r="K54" s="31">
        <f t="shared" si="12"/>
        <v>0.95929712810342371</v>
      </c>
      <c r="L54" s="31">
        <f t="shared" si="70"/>
        <v>0</v>
      </c>
      <c r="M54" s="31">
        <f t="shared" si="19"/>
        <v>0</v>
      </c>
      <c r="N54" s="35">
        <f>IFERROR((VLOOKUP(A54,AtskaiteStatusuTabula!B:AI,17,0)),0)</f>
        <v>8</v>
      </c>
      <c r="O54" s="148">
        <v>225437164.83000001</v>
      </c>
      <c r="P54" s="430">
        <v>0.95929712810342371</v>
      </c>
      <c r="Q54" s="35">
        <f>IFERROR((VLOOKUP(A54,AtskaiteStatusuTabula!B:AI,18,0)),0)</f>
        <v>225437164.83000001</v>
      </c>
      <c r="R54" s="31">
        <f t="shared" si="71"/>
        <v>0.95929712810342371</v>
      </c>
      <c r="S54" s="31">
        <f t="shared" si="72"/>
        <v>0</v>
      </c>
      <c r="T54" s="31">
        <f t="shared" si="16"/>
        <v>0</v>
      </c>
      <c r="U54" s="35">
        <f>IFERROR((VLOOKUP(A54,AtskaiteStatusuTabula!B:AI,23,0)),0)</f>
        <v>8</v>
      </c>
      <c r="V54" s="148">
        <v>225437164.83000001</v>
      </c>
      <c r="W54" s="430">
        <v>0.95929712810342371</v>
      </c>
      <c r="X54" s="35">
        <f>IFERROR((VLOOKUP(A54,AtskaiteStatusuTabula!B:AI,24,0)),0)</f>
        <v>225437164.83000001</v>
      </c>
      <c r="Y54" s="31">
        <f t="shared" si="73"/>
        <v>0.95929712810342371</v>
      </c>
      <c r="Z54" s="31">
        <f t="shared" si="3"/>
        <v>0</v>
      </c>
      <c r="AA54" s="31">
        <f t="shared" si="18"/>
        <v>0</v>
      </c>
      <c r="AB54" s="35">
        <f>IFERROR((VLOOKUP(A54,AtskaiteStatusuTabula!B:AI,30,0)),0)</f>
        <v>8</v>
      </c>
      <c r="AC54" s="148">
        <v>225437164.83000001</v>
      </c>
      <c r="AD54" s="430">
        <v>0.95929712810342371</v>
      </c>
      <c r="AE54" s="35">
        <f>IFERROR((VLOOKUP(A54,AtskaiteStatusuTabula!B:AI,31,0)),0)</f>
        <v>225458222.72</v>
      </c>
      <c r="AF54" s="31">
        <f t="shared" si="22"/>
        <v>0.9593867352159694</v>
      </c>
      <c r="AG54" s="31">
        <f t="shared" si="74"/>
        <v>3.9652184205629659E-4</v>
      </c>
      <c r="AH54" s="31">
        <f t="shared" si="4"/>
        <v>4.1347850742002896E-4</v>
      </c>
      <c r="AI54" s="35">
        <v>225365039.12</v>
      </c>
      <c r="AJ54" s="31">
        <v>0.9589902133739131</v>
      </c>
      <c r="AL54" s="57">
        <f t="shared" si="23"/>
        <v>0</v>
      </c>
    </row>
    <row r="55" spans="1:38" x14ac:dyDescent="0.3">
      <c r="A55" s="20" t="s">
        <v>271</v>
      </c>
      <c r="B55" s="12" t="str">
        <f>VLOOKUP(A55,saīsinājumi_LV_ENG!A:G,5,FALSE)</f>
        <v>Videi draudzīgi autobusi</v>
      </c>
      <c r="C55" s="11"/>
      <c r="D55" s="40" t="s">
        <v>345</v>
      </c>
      <c r="E55" s="40" t="s">
        <v>347</v>
      </c>
      <c r="F55" s="35">
        <v>44903019</v>
      </c>
      <c r="G55" s="35">
        <v>0</v>
      </c>
      <c r="H55" s="35">
        <f t="shared" si="69"/>
        <v>44903019</v>
      </c>
      <c r="I55" s="35">
        <v>774371.10458438203</v>
      </c>
      <c r="J55" s="35">
        <f>IFERROR((VLOOKUP(A55,AtskaiteStatusuTabula!B:AI,10,0)),0)</f>
        <v>39892249.329999998</v>
      </c>
      <c r="K55" s="31">
        <f t="shared" si="12"/>
        <v>0.88840906955498911</v>
      </c>
      <c r="L55" s="31">
        <f t="shared" si="70"/>
        <v>0</v>
      </c>
      <c r="M55" s="31">
        <f t="shared" si="19"/>
        <v>0</v>
      </c>
      <c r="N55" s="35">
        <f>IFERROR((VLOOKUP(A55,AtskaiteStatusuTabula!B:AI,17,0)),0)</f>
        <v>14</v>
      </c>
      <c r="O55" s="35">
        <v>39892249.329999998</v>
      </c>
      <c r="P55" s="31">
        <v>0.88840906955498911</v>
      </c>
      <c r="Q55" s="35">
        <f>IFERROR((VLOOKUP(A55,AtskaiteStatusuTabula!B:AI,18,0)),0)</f>
        <v>39892249.329999998</v>
      </c>
      <c r="R55" s="31">
        <f t="shared" si="71"/>
        <v>0.88840906955498911</v>
      </c>
      <c r="S55" s="31">
        <f t="shared" si="72"/>
        <v>0</v>
      </c>
      <c r="T55" s="31">
        <f t="shared" si="16"/>
        <v>0</v>
      </c>
      <c r="U55" s="35">
        <f>IFERROR((VLOOKUP(A55,AtskaiteStatusuTabula!B:AI,23,0)),0)</f>
        <v>14</v>
      </c>
      <c r="V55" s="35">
        <v>39892249.329999998</v>
      </c>
      <c r="W55" s="31">
        <v>0.88840906955498911</v>
      </c>
      <c r="X55" s="35">
        <f>IFERROR((VLOOKUP(A55,AtskaiteStatusuTabula!B:AI,24,0)),0)</f>
        <v>39892249.329999998</v>
      </c>
      <c r="Y55" s="31">
        <f t="shared" si="73"/>
        <v>0.88840906955498911</v>
      </c>
      <c r="Z55" s="31">
        <f t="shared" si="3"/>
        <v>0</v>
      </c>
      <c r="AA55" s="31">
        <f t="shared" si="18"/>
        <v>0</v>
      </c>
      <c r="AB55" s="35">
        <f>IFERROR((VLOOKUP(A55,AtskaiteStatusuTabula!B:AI,30,0)),0)</f>
        <v>14</v>
      </c>
      <c r="AC55" s="35">
        <v>39892249.329999998</v>
      </c>
      <c r="AD55" s="31">
        <v>0.88840906955498911</v>
      </c>
      <c r="AE55" s="35">
        <f>IFERROR((VLOOKUP(A55,AtskaiteStatusuTabula!B:AI,31,0)),0)</f>
        <v>39892249.329999998</v>
      </c>
      <c r="AF55" s="31">
        <f t="shared" si="22"/>
        <v>0.88840906955498911</v>
      </c>
      <c r="AG55" s="31">
        <f t="shared" si="74"/>
        <v>0</v>
      </c>
      <c r="AH55" s="31">
        <f t="shared" si="4"/>
        <v>0</v>
      </c>
      <c r="AI55" s="35">
        <v>39892249.329999998</v>
      </c>
      <c r="AJ55" s="31">
        <v>0.88840906955498911</v>
      </c>
      <c r="AL55" s="57">
        <f t="shared" si="23"/>
        <v>0</v>
      </c>
    </row>
    <row r="56" spans="1:38" ht="37.5" x14ac:dyDescent="0.3">
      <c r="A56" s="21" t="s">
        <v>51</v>
      </c>
      <c r="B56" s="10" t="str">
        <f>VLOOKUP(A56,saīsinājumi_LV_ENG!A:G,5,FALSE)</f>
        <v>Vide un teritoriālā attīstība</v>
      </c>
      <c r="C56" s="10"/>
      <c r="D56" s="42"/>
      <c r="E56" s="42"/>
      <c r="F56" s="37">
        <f>SUM(F57:F71)</f>
        <v>581390235</v>
      </c>
      <c r="G56" s="37">
        <f>SUM(G57:G71)</f>
        <v>78662967</v>
      </c>
      <c r="H56" s="37">
        <f>SUM(H57:H71)</f>
        <v>660053202</v>
      </c>
      <c r="I56" s="37">
        <f>SUM(I57:I71)</f>
        <v>21646184.946061909</v>
      </c>
      <c r="J56" s="37">
        <f>SUM(J57:J71)</f>
        <v>622630364.61000001</v>
      </c>
      <c r="K56" s="33">
        <f>J56/F56</f>
        <v>1.0709336468473709</v>
      </c>
      <c r="L56" s="33">
        <f t="shared" si="70"/>
        <v>0</v>
      </c>
      <c r="M56" s="33">
        <f t="shared" si="19"/>
        <v>0</v>
      </c>
      <c r="N56" s="37">
        <f>SUM(N57:N71)</f>
        <v>273</v>
      </c>
      <c r="O56" s="37">
        <v>622630364.61000001</v>
      </c>
      <c r="P56" s="33">
        <v>1.0709336468473709</v>
      </c>
      <c r="Q56" s="37">
        <f>SUM(Q57:Q71)</f>
        <v>622630364.61000001</v>
      </c>
      <c r="R56" s="33">
        <f t="shared" si="71"/>
        <v>1.0709336468473709</v>
      </c>
      <c r="S56" s="33">
        <f t="shared" si="72"/>
        <v>0</v>
      </c>
      <c r="T56" s="33">
        <f t="shared" si="16"/>
        <v>0</v>
      </c>
      <c r="U56" s="37">
        <f>SUM(U57:U71)</f>
        <v>273</v>
      </c>
      <c r="V56" s="37">
        <v>622630364.61000001</v>
      </c>
      <c r="W56" s="33">
        <v>1.0709336468473709</v>
      </c>
      <c r="X56" s="37">
        <f>SUM(X57:X71)</f>
        <v>622630364.61000001</v>
      </c>
      <c r="Y56" s="33">
        <f t="shared" si="73"/>
        <v>1.0709336468473709</v>
      </c>
      <c r="Z56" s="33">
        <f t="shared" si="3"/>
        <v>0</v>
      </c>
      <c r="AA56" s="33">
        <f t="shared" si="18"/>
        <v>0</v>
      </c>
      <c r="AB56" s="37">
        <f>SUM(AB57:AB71)</f>
        <v>273</v>
      </c>
      <c r="AC56" s="37">
        <v>622630364.61000001</v>
      </c>
      <c r="AD56" s="33">
        <v>1.0709336468473709</v>
      </c>
      <c r="AE56" s="37">
        <f>SUM(AE57:AE71)</f>
        <v>618590696.21000004</v>
      </c>
      <c r="AF56" s="33">
        <f t="shared" si="22"/>
        <v>1.063985356083595</v>
      </c>
      <c r="AG56" s="33">
        <f t="shared" si="74"/>
        <v>-1.4328205908031855E-4</v>
      </c>
      <c r="AH56" s="33">
        <f t="shared" si="4"/>
        <v>-1.3464731043264977E-4</v>
      </c>
      <c r="AI56" s="37">
        <v>618673999</v>
      </c>
      <c r="AJ56" s="33">
        <v>1.0641286381426753</v>
      </c>
      <c r="AL56" s="57">
        <f t="shared" si="23"/>
        <v>0</v>
      </c>
    </row>
    <row r="57" spans="1:38" ht="37.5" x14ac:dyDescent="0.3">
      <c r="A57" s="94" t="s">
        <v>273</v>
      </c>
      <c r="B57" s="12" t="str">
        <f>VLOOKUP(A57,saīsinājumi_LV_ENG!A:G,5,FALSE)</f>
        <v>Plūdu risku samazināšana blīvi apdzīvotās teritorijās</v>
      </c>
      <c r="C57" s="11"/>
      <c r="D57" s="40" t="s">
        <v>345</v>
      </c>
      <c r="E57" s="40" t="s">
        <v>350</v>
      </c>
      <c r="F57" s="35">
        <v>0</v>
      </c>
      <c r="G57" s="35">
        <v>24299268</v>
      </c>
      <c r="H57" s="35">
        <f t="shared" ref="H57:H69" si="75">F57+G57</f>
        <v>24299268</v>
      </c>
      <c r="I57" s="98">
        <v>2679997</v>
      </c>
      <c r="J57" s="35">
        <f>IFERROR((VLOOKUP(A57,AtskaiteStatusuTabula!B:AI,10,0)),0)</f>
        <v>22886986.370000001</v>
      </c>
      <c r="K57" s="31">
        <f>IFERROR(J57/F57,0)</f>
        <v>0</v>
      </c>
      <c r="L57" s="31">
        <f t="shared" si="70"/>
        <v>0</v>
      </c>
      <c r="M57" s="31">
        <f t="shared" si="19"/>
        <v>0</v>
      </c>
      <c r="N57" s="35">
        <f>IFERROR((VLOOKUP(A57,AtskaiteStatusuTabula!B:AI,17,0)),0)</f>
        <v>10</v>
      </c>
      <c r="O57" s="35">
        <v>22886986.370000001</v>
      </c>
      <c r="P57" s="31">
        <v>0</v>
      </c>
      <c r="Q57" s="35">
        <f>IFERROR((VLOOKUP(A57,AtskaiteStatusuTabula!B:AI,18,0)),0)</f>
        <v>22886986.370000001</v>
      </c>
      <c r="R57" s="31">
        <f>IFERROR(Q57/F57,0)</f>
        <v>0</v>
      </c>
      <c r="S57" s="31">
        <f t="shared" si="72"/>
        <v>0</v>
      </c>
      <c r="T57" s="31">
        <f t="shared" si="16"/>
        <v>0</v>
      </c>
      <c r="U57" s="35">
        <f>IFERROR((VLOOKUP(A57,AtskaiteStatusuTabula!B:AI,23,0)),0)</f>
        <v>10</v>
      </c>
      <c r="V57" s="35">
        <v>22886986.370000001</v>
      </c>
      <c r="W57" s="31">
        <v>0</v>
      </c>
      <c r="X57" s="35">
        <f>IFERROR((VLOOKUP(A57,AtskaiteStatusuTabula!B:AI,24,0)),0)</f>
        <v>22886986.370000001</v>
      </c>
      <c r="Y57" s="31">
        <f>IFERROR(X57/F57,0)</f>
        <v>0</v>
      </c>
      <c r="Z57" s="31">
        <f>IFERROR(Y57-AD57,0)</f>
        <v>0</v>
      </c>
      <c r="AA57" s="31">
        <f t="shared" si="18"/>
        <v>0</v>
      </c>
      <c r="AB57" s="35">
        <f>IFERROR((VLOOKUP(A57,AtskaiteStatusuTabula!B:AI,30,0)),0)</f>
        <v>10</v>
      </c>
      <c r="AC57" s="35">
        <v>22886986.370000001</v>
      </c>
      <c r="AD57" s="31">
        <v>0</v>
      </c>
      <c r="AE57" s="35">
        <f>IFERROR((VLOOKUP(A57,AtskaiteStatusuTabula!B:AI,31,0)),0)</f>
        <v>22876285.149999999</v>
      </c>
      <c r="AF57" s="31">
        <f t="shared" si="22"/>
        <v>0</v>
      </c>
      <c r="AG57" s="31">
        <f t="shared" si="74"/>
        <v>0</v>
      </c>
      <c r="AH57" s="31">
        <f t="shared" si="4"/>
        <v>0</v>
      </c>
      <c r="AI57" s="35">
        <v>22876285.149999999</v>
      </c>
      <c r="AJ57" s="31">
        <v>0</v>
      </c>
      <c r="AL57" s="57">
        <f t="shared" si="23"/>
        <v>0</v>
      </c>
    </row>
    <row r="58" spans="1:38" ht="37.5" x14ac:dyDescent="0.3">
      <c r="A58" s="94" t="s">
        <v>274</v>
      </c>
      <c r="B58" s="12" t="str">
        <f>VLOOKUP(A58,saīsinājumi_LV_ENG!A:G,5,FALSE)</f>
        <v>Plūdu risku samazināšana lauku teritorijās</v>
      </c>
      <c r="C58" s="11"/>
      <c r="D58" s="40" t="s">
        <v>345</v>
      </c>
      <c r="E58" s="40" t="s">
        <v>400</v>
      </c>
      <c r="F58" s="35">
        <v>0</v>
      </c>
      <c r="G58" s="35">
        <v>36881516</v>
      </c>
      <c r="H58" s="35">
        <f t="shared" si="75"/>
        <v>36881516</v>
      </c>
      <c r="I58" s="98">
        <v>2249596.9460619101</v>
      </c>
      <c r="J58" s="35">
        <f>IFERROR((VLOOKUP(A58,AtskaiteStatusuTabula!B:AI,10,0)),0)</f>
        <v>36460624.560000002</v>
      </c>
      <c r="K58" s="31">
        <f>IFERROR(J58/F58,0)</f>
        <v>0</v>
      </c>
      <c r="L58" s="31">
        <f t="shared" si="70"/>
        <v>0</v>
      </c>
      <c r="M58" s="31">
        <f t="shared" si="19"/>
        <v>0</v>
      </c>
      <c r="N58" s="35">
        <f>IFERROR((VLOOKUP(A58,AtskaiteStatusuTabula!B:AI,17,0)),0)</f>
        <v>32</v>
      </c>
      <c r="O58" s="35">
        <v>36460624.560000002</v>
      </c>
      <c r="P58" s="31">
        <v>0</v>
      </c>
      <c r="Q58" s="35">
        <f>IFERROR((VLOOKUP(A58,AtskaiteStatusuTabula!B:AI,18,0)),0)</f>
        <v>36460624.560000002</v>
      </c>
      <c r="R58" s="31">
        <f>IFERROR(Q58/F58,0)</f>
        <v>0</v>
      </c>
      <c r="S58" s="31">
        <f t="shared" si="72"/>
        <v>0</v>
      </c>
      <c r="T58" s="31">
        <f t="shared" si="16"/>
        <v>0</v>
      </c>
      <c r="U58" s="35">
        <f>IFERROR((VLOOKUP(A58,AtskaiteStatusuTabula!B:AI,23,0)),0)</f>
        <v>32</v>
      </c>
      <c r="V58" s="35">
        <v>36460624.560000002</v>
      </c>
      <c r="W58" s="31">
        <v>0</v>
      </c>
      <c r="X58" s="35">
        <f>IFERROR((VLOOKUP(A58,AtskaiteStatusuTabula!B:AI,24,0)),0)</f>
        <v>36460624.560000002</v>
      </c>
      <c r="Y58" s="31">
        <f>IFERROR(X58/F58,0)</f>
        <v>0</v>
      </c>
      <c r="Z58" s="31">
        <f>IFERROR(Y58-AD58,0)</f>
        <v>0</v>
      </c>
      <c r="AA58" s="31">
        <f t="shared" si="18"/>
        <v>0</v>
      </c>
      <c r="AB58" s="35">
        <f>IFERROR((VLOOKUP(A58,AtskaiteStatusuTabula!B:AI,30,0)),0)</f>
        <v>32</v>
      </c>
      <c r="AC58" s="35">
        <v>36460624.560000002</v>
      </c>
      <c r="AD58" s="31">
        <v>0</v>
      </c>
      <c r="AE58" s="35">
        <f>IFERROR((VLOOKUP(A58,AtskaiteStatusuTabula!B:AI,31,0)),0)</f>
        <v>36460624.530000001</v>
      </c>
      <c r="AF58" s="31">
        <f t="shared" si="22"/>
        <v>0</v>
      </c>
      <c r="AG58" s="31">
        <f t="shared" si="74"/>
        <v>0</v>
      </c>
      <c r="AH58" s="31">
        <f t="shared" si="4"/>
        <v>0</v>
      </c>
      <c r="AI58" s="35">
        <v>36460624.530000001</v>
      </c>
      <c r="AJ58" s="31">
        <v>0</v>
      </c>
      <c r="AL58" s="57">
        <f t="shared" si="23"/>
        <v>0</v>
      </c>
    </row>
    <row r="59" spans="1:38" x14ac:dyDescent="0.3">
      <c r="A59" s="94" t="s">
        <v>275</v>
      </c>
      <c r="B59" s="12" t="str">
        <f>VLOOKUP(A59,saīsinājumi_LV_ENG!A:G,5,FALSE)</f>
        <v>Atkritumu dalītā vākšana</v>
      </c>
      <c r="C59" s="11"/>
      <c r="D59" s="40" t="s">
        <v>345</v>
      </c>
      <c r="E59" s="40" t="s">
        <v>350</v>
      </c>
      <c r="F59" s="98">
        <f>161891-10491</f>
        <v>151400</v>
      </c>
      <c r="G59" s="35">
        <v>0</v>
      </c>
      <c r="H59" s="35">
        <f t="shared" si="75"/>
        <v>151400</v>
      </c>
      <c r="I59" s="98">
        <v>0</v>
      </c>
      <c r="J59" s="35">
        <f>IFERROR((VLOOKUP(A59,AtskaiteStatusuTabula!B:AI,10,0)),0)</f>
        <v>151399.01999999999</v>
      </c>
      <c r="K59" s="31">
        <f t="shared" si="12"/>
        <v>0.9999935270805812</v>
      </c>
      <c r="L59" s="31">
        <f t="shared" si="70"/>
        <v>0</v>
      </c>
      <c r="M59" s="31">
        <f t="shared" si="19"/>
        <v>0</v>
      </c>
      <c r="N59" s="35">
        <f>IFERROR((VLOOKUP(A59,AtskaiteStatusuTabula!B:AI,17,0)),0)</f>
        <v>4</v>
      </c>
      <c r="O59" s="35">
        <v>151399.01999999999</v>
      </c>
      <c r="P59" s="31">
        <v>0.9999935270805812</v>
      </c>
      <c r="Q59" s="35">
        <f>IFERROR((VLOOKUP(A59,AtskaiteStatusuTabula!B:AI,18,0)),0)</f>
        <v>151399.01999999999</v>
      </c>
      <c r="R59" s="31">
        <f t="shared" si="71"/>
        <v>0.9999935270805812</v>
      </c>
      <c r="S59" s="31">
        <f t="shared" si="72"/>
        <v>0</v>
      </c>
      <c r="T59" s="31">
        <f t="shared" si="16"/>
        <v>0</v>
      </c>
      <c r="U59" s="35">
        <f>IFERROR((VLOOKUP(A59,AtskaiteStatusuTabula!B:AI,23,0)),0)</f>
        <v>4</v>
      </c>
      <c r="V59" s="35">
        <v>151399.01999999999</v>
      </c>
      <c r="W59" s="31">
        <v>0.9999935270805812</v>
      </c>
      <c r="X59" s="35">
        <f>IFERROR((VLOOKUP(A59,AtskaiteStatusuTabula!B:AI,24,0)),0)</f>
        <v>151399.01999999999</v>
      </c>
      <c r="Y59" s="31">
        <f t="shared" si="73"/>
        <v>0.9999935270805812</v>
      </c>
      <c r="Z59" s="31">
        <f t="shared" si="3"/>
        <v>0</v>
      </c>
      <c r="AA59" s="31">
        <f t="shared" si="18"/>
        <v>0</v>
      </c>
      <c r="AB59" s="35">
        <f>IFERROR((VLOOKUP(A59,AtskaiteStatusuTabula!B:AI,30,0)),0)</f>
        <v>4</v>
      </c>
      <c r="AC59" s="35">
        <v>151399.01999999999</v>
      </c>
      <c r="AD59" s="31">
        <v>0.9999935270805812</v>
      </c>
      <c r="AE59" s="35">
        <f>IFERROR((VLOOKUP(A59,AtskaiteStatusuTabula!B:AI,31,0)),0)</f>
        <v>151399.01999999999</v>
      </c>
      <c r="AF59" s="31">
        <f t="shared" si="22"/>
        <v>0.9999935270805812</v>
      </c>
      <c r="AG59" s="31">
        <f t="shared" si="74"/>
        <v>0</v>
      </c>
      <c r="AH59" s="31">
        <f t="shared" si="4"/>
        <v>0</v>
      </c>
      <c r="AI59" s="35">
        <v>151399.01999999999</v>
      </c>
      <c r="AJ59" s="31">
        <v>0.9999935270805812</v>
      </c>
      <c r="AL59" s="57">
        <f t="shared" si="23"/>
        <v>0</v>
      </c>
    </row>
    <row r="60" spans="1:38" x14ac:dyDescent="0.3">
      <c r="A60" s="94" t="s">
        <v>276</v>
      </c>
      <c r="B60" s="12" t="str">
        <f>VLOOKUP(A60,saīsinājumi_LV_ENG!A:G,5,FALSE)</f>
        <v xml:space="preserve">Atkritumu pārstrāde </v>
      </c>
      <c r="C60" s="11"/>
      <c r="D60" s="40" t="s">
        <v>345</v>
      </c>
      <c r="E60" s="40" t="s">
        <v>350</v>
      </c>
      <c r="F60" s="98">
        <v>46435671</v>
      </c>
      <c r="G60" s="35">
        <v>17482183</v>
      </c>
      <c r="H60" s="35">
        <f t="shared" si="75"/>
        <v>63917854</v>
      </c>
      <c r="I60" s="98">
        <v>0</v>
      </c>
      <c r="J60" s="35">
        <f>IFERROR((VLOOKUP(A60,AtskaiteStatusuTabula!B:AI,10,0)),0)</f>
        <v>62563116.609999999</v>
      </c>
      <c r="K60" s="31">
        <f>J60/F60</f>
        <v>1.3473072588958606</v>
      </c>
      <c r="L60" s="31">
        <f t="shared" si="70"/>
        <v>0</v>
      </c>
      <c r="M60" s="31">
        <f t="shared" si="19"/>
        <v>0</v>
      </c>
      <c r="N60" s="35">
        <f>IFERROR((VLOOKUP(A60,AtskaiteStatusuTabula!B:AI,17,0)),0)</f>
        <v>12</v>
      </c>
      <c r="O60" s="148">
        <v>62563116.609999999</v>
      </c>
      <c r="P60" s="430">
        <v>1.3473072588958606</v>
      </c>
      <c r="Q60" s="35">
        <f>IFERROR((VLOOKUP(A60,AtskaiteStatusuTabula!B:AI,18,0)),0)</f>
        <v>62563116.609999999</v>
      </c>
      <c r="R60" s="31">
        <f t="shared" si="71"/>
        <v>1.3473072588958606</v>
      </c>
      <c r="S60" s="31">
        <f t="shared" si="72"/>
        <v>0</v>
      </c>
      <c r="T60" s="31">
        <f t="shared" si="16"/>
        <v>0</v>
      </c>
      <c r="U60" s="35">
        <f>IFERROR((VLOOKUP(A60,AtskaiteStatusuTabula!B:AI,23,0)),0)</f>
        <v>12</v>
      </c>
      <c r="V60" s="148">
        <v>62563116.609999999</v>
      </c>
      <c r="W60" s="430">
        <v>1.3473072588958606</v>
      </c>
      <c r="X60" s="35">
        <f>IFERROR((VLOOKUP(A60,AtskaiteStatusuTabula!B:AI,24,0)),0)</f>
        <v>62563116.609999999</v>
      </c>
      <c r="Y60" s="31">
        <f t="shared" si="73"/>
        <v>1.3473072588958606</v>
      </c>
      <c r="Z60" s="31">
        <f t="shared" si="3"/>
        <v>0</v>
      </c>
      <c r="AA60" s="31">
        <f t="shared" si="18"/>
        <v>0</v>
      </c>
      <c r="AB60" s="35">
        <f>IFERROR((VLOOKUP(A60,AtskaiteStatusuTabula!B:AI,30,0)),0)</f>
        <v>12</v>
      </c>
      <c r="AC60" s="35">
        <v>62563116.609999999</v>
      </c>
      <c r="AD60" s="31">
        <v>1.3473072588958606</v>
      </c>
      <c r="AE60" s="35">
        <f>IFERROR((VLOOKUP(A60,AtskaiteStatusuTabula!B:AI,31,0)),0)</f>
        <v>62563116.609999999</v>
      </c>
      <c r="AF60" s="31">
        <f t="shared" si="22"/>
        <v>1.3473072588958606</v>
      </c>
      <c r="AG60" s="31">
        <f t="shared" si="74"/>
        <v>0</v>
      </c>
      <c r="AH60" s="31">
        <f t="shared" si="4"/>
        <v>0</v>
      </c>
      <c r="AI60" s="35">
        <v>62563116.609999999</v>
      </c>
      <c r="AJ60" s="31">
        <v>1.3473072588958606</v>
      </c>
      <c r="AL60" s="57">
        <f t="shared" si="23"/>
        <v>0</v>
      </c>
    </row>
    <row r="61" spans="1:38" x14ac:dyDescent="0.3">
      <c r="A61" s="94" t="s">
        <v>405</v>
      </c>
      <c r="B61" s="12" t="str">
        <f>VLOOKUP(A61,saīsinājumi_LV_ENG!A:G,5,FALSE)</f>
        <v>Atkritumu reģenerācija</v>
      </c>
      <c r="C61" s="11"/>
      <c r="D61" s="40" t="s">
        <v>345</v>
      </c>
      <c r="E61" s="40" t="s">
        <v>350</v>
      </c>
      <c r="F61" s="98">
        <v>9184249</v>
      </c>
      <c r="G61" s="35">
        <v>0</v>
      </c>
      <c r="H61" s="35">
        <f t="shared" si="75"/>
        <v>9184249</v>
      </c>
      <c r="I61" s="98">
        <v>0</v>
      </c>
      <c r="J61" s="35">
        <f>IFERROR((VLOOKUP(A61,AtskaiteStatusuTabula!B:AI,10,0)),0)</f>
        <v>9184249</v>
      </c>
      <c r="K61" s="31">
        <f>J61/F61</f>
        <v>1</v>
      </c>
      <c r="L61" s="31">
        <f>K61-P61</f>
        <v>0</v>
      </c>
      <c r="M61" s="31">
        <f>IFERROR(((J61-O61)/O61),0)</f>
        <v>0</v>
      </c>
      <c r="N61" s="35">
        <f>IFERROR((VLOOKUP(A61,AtskaiteStatusuTabula!B:AI,17,0)),0)</f>
        <v>1</v>
      </c>
      <c r="O61" s="35">
        <v>9184249</v>
      </c>
      <c r="P61" s="31">
        <v>1</v>
      </c>
      <c r="Q61" s="35">
        <f>IFERROR((VLOOKUP(A61,AtskaiteStatusuTabula!B:AI,18,0)),0)</f>
        <v>9184249</v>
      </c>
      <c r="R61" s="31">
        <f>Q61/F61</f>
        <v>1</v>
      </c>
      <c r="S61" s="31">
        <f>R61-W61</f>
        <v>0</v>
      </c>
      <c r="T61" s="31">
        <f>IFERROR(((Q61-V61)/V61),0)</f>
        <v>0</v>
      </c>
      <c r="U61" s="35">
        <f>IFERROR((VLOOKUP(A61,AtskaiteStatusuTabula!B:AI,23,0)),0)</f>
        <v>1</v>
      </c>
      <c r="V61" s="35">
        <v>9184249</v>
      </c>
      <c r="W61" s="31">
        <v>1</v>
      </c>
      <c r="X61" s="35">
        <f>IFERROR((VLOOKUP(A61,AtskaiteStatusuTabula!B:AI,24,0)),0)</f>
        <v>9184249</v>
      </c>
      <c r="Y61" s="31">
        <f>X61/F61</f>
        <v>1</v>
      </c>
      <c r="Z61" s="31">
        <f>Y61-AD61</f>
        <v>0</v>
      </c>
      <c r="AA61" s="31">
        <f>IFERROR(((X61-AC61)/AC61),0)</f>
        <v>0</v>
      </c>
      <c r="AB61" s="35">
        <f>IFERROR((VLOOKUP(A61,AtskaiteStatusuTabula!B:AI,30,0)),0)</f>
        <v>1</v>
      </c>
      <c r="AC61" s="35">
        <v>9184249</v>
      </c>
      <c r="AD61" s="31">
        <v>1</v>
      </c>
      <c r="AE61" s="35">
        <f>IFERROR((VLOOKUP(A61,AtskaiteStatusuTabula!B:AI,31,0)),0)</f>
        <v>9184249</v>
      </c>
      <c r="AF61" s="31">
        <f t="shared" si="22"/>
        <v>1</v>
      </c>
      <c r="AG61" s="31">
        <f>AF61-AJ61</f>
        <v>0</v>
      </c>
      <c r="AH61" s="31">
        <f>IFERROR(((AE61-AI61)/AI61),0)</f>
        <v>0</v>
      </c>
      <c r="AI61" s="35">
        <v>9184249</v>
      </c>
      <c r="AJ61" s="31">
        <v>1</v>
      </c>
      <c r="AL61" s="57">
        <f t="shared" si="23"/>
        <v>0</v>
      </c>
    </row>
    <row r="62" spans="1:38" x14ac:dyDescent="0.3">
      <c r="A62" s="94" t="s">
        <v>277</v>
      </c>
      <c r="B62" s="12" t="str">
        <f>VLOOKUP(A62,saīsinājumi_LV_ENG!A:G,5,FALSE)</f>
        <v>Ūdenssaimniecība</v>
      </c>
      <c r="C62" s="11"/>
      <c r="D62" s="40" t="s">
        <v>345</v>
      </c>
      <c r="E62" s="40" t="s">
        <v>350</v>
      </c>
      <c r="F62" s="98">
        <v>102562507</v>
      </c>
      <c r="G62" s="35">
        <v>0</v>
      </c>
      <c r="H62" s="35">
        <f t="shared" si="75"/>
        <v>102562507</v>
      </c>
      <c r="I62" s="35">
        <v>0</v>
      </c>
      <c r="J62" s="35">
        <f>IFERROR((VLOOKUP(A62,AtskaiteStatusuTabula!B:AI,10,0)),0)</f>
        <v>101505926.48999999</v>
      </c>
      <c r="K62" s="31">
        <f t="shared" si="12"/>
        <v>0.98969817976465801</v>
      </c>
      <c r="L62" s="31">
        <f t="shared" si="70"/>
        <v>0</v>
      </c>
      <c r="M62" s="31">
        <f t="shared" si="19"/>
        <v>0</v>
      </c>
      <c r="N62" s="35">
        <f>IFERROR((VLOOKUP(A62,AtskaiteStatusuTabula!B:AI,17,0)),0)</f>
        <v>47</v>
      </c>
      <c r="O62" s="35">
        <v>101505926.48999999</v>
      </c>
      <c r="P62" s="31">
        <v>0.98969817976465801</v>
      </c>
      <c r="Q62" s="35">
        <f>IFERROR((VLOOKUP(A62,AtskaiteStatusuTabula!B:AI,18,0)),0)</f>
        <v>101505926.48999999</v>
      </c>
      <c r="R62" s="31">
        <f t="shared" si="71"/>
        <v>0.98969817976465801</v>
      </c>
      <c r="S62" s="31">
        <f t="shared" si="72"/>
        <v>0</v>
      </c>
      <c r="T62" s="31">
        <f t="shared" si="16"/>
        <v>0</v>
      </c>
      <c r="U62" s="35">
        <f>IFERROR((VLOOKUP(A62,AtskaiteStatusuTabula!B:AI,23,0)),0)</f>
        <v>47</v>
      </c>
      <c r="V62" s="35">
        <v>101505926.48999999</v>
      </c>
      <c r="W62" s="31">
        <v>0.98969817976465801</v>
      </c>
      <c r="X62" s="35">
        <f>IFERROR((VLOOKUP(A62,AtskaiteStatusuTabula!B:AI,24,0)),0)</f>
        <v>101505926.48999999</v>
      </c>
      <c r="Y62" s="31">
        <f t="shared" si="73"/>
        <v>0.98969817976465801</v>
      </c>
      <c r="Z62" s="31">
        <f t="shared" si="3"/>
        <v>0</v>
      </c>
      <c r="AA62" s="31">
        <f t="shared" si="18"/>
        <v>0</v>
      </c>
      <c r="AB62" s="35">
        <f>IFERROR((VLOOKUP(A62,AtskaiteStatusuTabula!B:AI,30,0)),0)</f>
        <v>47</v>
      </c>
      <c r="AC62" s="35">
        <v>101505926.48999999</v>
      </c>
      <c r="AD62" s="31">
        <v>0.98969817976465801</v>
      </c>
      <c r="AE62" s="35">
        <f>IFERROR((VLOOKUP(A62,AtskaiteStatusuTabula!B:AI,31,0)),0)</f>
        <v>101207903.51000001</v>
      </c>
      <c r="AF62" s="31">
        <f t="shared" si="22"/>
        <v>0.98679241050533217</v>
      </c>
      <c r="AG62" s="31">
        <f t="shared" si="74"/>
        <v>0</v>
      </c>
      <c r="AH62" s="31">
        <f t="shared" si="4"/>
        <v>0</v>
      </c>
      <c r="AI62" s="35">
        <v>101207903.51000001</v>
      </c>
      <c r="AJ62" s="31">
        <v>0.98679241050533217</v>
      </c>
      <c r="AL62" s="57">
        <f t="shared" si="23"/>
        <v>0</v>
      </c>
    </row>
    <row r="63" spans="1:38" ht="30.75" x14ac:dyDescent="0.3">
      <c r="A63" s="20" t="s">
        <v>278</v>
      </c>
      <c r="B63" s="355" t="str">
        <f>VLOOKUP(A63,saīsinājumi_LV_ENG!A:G,5,FALSE)</f>
        <v>Infrastruktūra Natura 2000 teritorijās</v>
      </c>
      <c r="C63"/>
      <c r="D63" s="40" t="s">
        <v>344</v>
      </c>
      <c r="E63" s="40" t="s">
        <v>350</v>
      </c>
      <c r="F63" s="35">
        <f>3400000-316668-10611</f>
        <v>3072721</v>
      </c>
      <c r="G63" s="35">
        <v>0</v>
      </c>
      <c r="H63" s="35">
        <f t="shared" si="75"/>
        <v>3072721</v>
      </c>
      <c r="I63" s="35">
        <v>0</v>
      </c>
      <c r="J63" s="35">
        <f>IFERROR((VLOOKUP(A63,AtskaiteStatusuTabula!B:AI,10,0)),0)</f>
        <v>3072720.94</v>
      </c>
      <c r="K63" s="31">
        <f t="shared" si="12"/>
        <v>0.99999998047333294</v>
      </c>
      <c r="L63" s="31">
        <f t="shared" si="70"/>
        <v>0</v>
      </c>
      <c r="M63" s="31">
        <f t="shared" si="19"/>
        <v>0</v>
      </c>
      <c r="N63" s="35">
        <f>IFERROR((VLOOKUP(A63,AtskaiteStatusuTabula!B:AI,17,0)),0)</f>
        <v>13</v>
      </c>
      <c r="O63" s="35">
        <v>3072720.94</v>
      </c>
      <c r="P63" s="31">
        <v>0.99999998047333294</v>
      </c>
      <c r="Q63" s="35">
        <f>IFERROR((VLOOKUP(A63,AtskaiteStatusuTabula!B:AI,18,0)),0)</f>
        <v>3072720.94</v>
      </c>
      <c r="R63" s="31">
        <f t="shared" si="71"/>
        <v>0.99999998047333294</v>
      </c>
      <c r="S63" s="31">
        <f t="shared" si="72"/>
        <v>0</v>
      </c>
      <c r="T63" s="31">
        <f t="shared" si="16"/>
        <v>0</v>
      </c>
      <c r="U63" s="35">
        <f>IFERROR((VLOOKUP(A63,AtskaiteStatusuTabula!B:AI,23,0)),0)</f>
        <v>13</v>
      </c>
      <c r="V63" s="35">
        <v>3072720.94</v>
      </c>
      <c r="W63" s="31">
        <v>0.99999998047333294</v>
      </c>
      <c r="X63" s="35">
        <f>IFERROR((VLOOKUP(A63,AtskaiteStatusuTabula!B:AI,24,0)),0)</f>
        <v>3072720.94</v>
      </c>
      <c r="Y63" s="31">
        <f t="shared" si="73"/>
        <v>0.99999998047333294</v>
      </c>
      <c r="Z63" s="31">
        <f t="shared" si="3"/>
        <v>0</v>
      </c>
      <c r="AA63" s="31">
        <f t="shared" si="18"/>
        <v>0</v>
      </c>
      <c r="AB63" s="35">
        <f>IFERROR((VLOOKUP(A63,AtskaiteStatusuTabula!B:AI,30,0)),0)</f>
        <v>13</v>
      </c>
      <c r="AC63" s="35">
        <v>3072720.94</v>
      </c>
      <c r="AD63" s="31">
        <v>0.99999998047333294</v>
      </c>
      <c r="AE63" s="35">
        <f>IFERROR((VLOOKUP(A63,AtskaiteStatusuTabula!B:AI,31,0)),0)</f>
        <v>3072720.94</v>
      </c>
      <c r="AF63" s="31">
        <f t="shared" si="22"/>
        <v>0.99999998047333294</v>
      </c>
      <c r="AG63" s="31">
        <f t="shared" si="74"/>
        <v>0</v>
      </c>
      <c r="AH63" s="31">
        <f t="shared" si="4"/>
        <v>0</v>
      </c>
      <c r="AI63" s="35">
        <v>3072720.94</v>
      </c>
      <c r="AJ63" s="31">
        <v>0.99999998047333294</v>
      </c>
      <c r="AL63" s="57">
        <f t="shared" si="23"/>
        <v>0</v>
      </c>
    </row>
    <row r="64" spans="1:38" ht="37.5" x14ac:dyDescent="0.3">
      <c r="A64" s="20" t="s">
        <v>279</v>
      </c>
      <c r="B64" s="12" t="str">
        <f>VLOOKUP(A64,saīsinājumi_LV_ENG!A:G,5,FALSE)</f>
        <v>Biotopu un sugu kartēšana</v>
      </c>
      <c r="C64" s="11"/>
      <c r="D64" s="40" t="s">
        <v>345</v>
      </c>
      <c r="E64" s="40" t="s">
        <v>350</v>
      </c>
      <c r="F64" s="35">
        <v>8723624</v>
      </c>
      <c r="G64" s="35">
        <v>0</v>
      </c>
      <c r="H64" s="35">
        <f t="shared" si="75"/>
        <v>8723624</v>
      </c>
      <c r="I64" s="35">
        <v>0</v>
      </c>
      <c r="J64" s="35">
        <f>IFERROR((VLOOKUP(A64,AtskaiteStatusuTabula!B:AI,10,0)),0)</f>
        <v>8720098.6199999992</v>
      </c>
      <c r="K64" s="31">
        <f t="shared" si="12"/>
        <v>0.99959588125302046</v>
      </c>
      <c r="L64" s="31">
        <f t="shared" si="70"/>
        <v>0</v>
      </c>
      <c r="M64" s="31">
        <f t="shared" si="19"/>
        <v>0</v>
      </c>
      <c r="N64" s="35">
        <f>IFERROR((VLOOKUP(A64,AtskaiteStatusuTabula!B:AI,17,0)),0)</f>
        <v>1</v>
      </c>
      <c r="O64" s="35">
        <v>8720098.6199999992</v>
      </c>
      <c r="P64" s="31">
        <v>0.99959588125302046</v>
      </c>
      <c r="Q64" s="35">
        <f>IFERROR((VLOOKUP(A64,AtskaiteStatusuTabula!B:AI,18,0)),0)</f>
        <v>8720098.6199999992</v>
      </c>
      <c r="R64" s="31">
        <f t="shared" si="71"/>
        <v>0.99959588125302046</v>
      </c>
      <c r="S64" s="31">
        <f t="shared" si="72"/>
        <v>0</v>
      </c>
      <c r="T64" s="31">
        <f t="shared" si="16"/>
        <v>0</v>
      </c>
      <c r="U64" s="35">
        <f>IFERROR((VLOOKUP(A64,AtskaiteStatusuTabula!B:AI,23,0)),0)</f>
        <v>1</v>
      </c>
      <c r="V64" s="35">
        <v>8720098.6199999992</v>
      </c>
      <c r="W64" s="31">
        <v>0.99959588125302046</v>
      </c>
      <c r="X64" s="35">
        <f>IFERROR((VLOOKUP(A64,AtskaiteStatusuTabula!B:AI,24,0)),0)</f>
        <v>8720098.6199999992</v>
      </c>
      <c r="Y64" s="31">
        <f t="shared" si="73"/>
        <v>0.99959588125302046</v>
      </c>
      <c r="Z64" s="31">
        <f t="shared" si="3"/>
        <v>0</v>
      </c>
      <c r="AA64" s="31">
        <f t="shared" si="18"/>
        <v>0</v>
      </c>
      <c r="AB64" s="35">
        <f>IFERROR((VLOOKUP(A64,AtskaiteStatusuTabula!B:AI,30,0)),0)</f>
        <v>1</v>
      </c>
      <c r="AC64" s="35">
        <v>8720098.6199999992</v>
      </c>
      <c r="AD64" s="31">
        <v>0.99959588125302046</v>
      </c>
      <c r="AE64" s="35">
        <f>IFERROR((VLOOKUP(A64,AtskaiteStatusuTabula!B:AI,31,0)),0)</f>
        <v>8720098.6199999992</v>
      </c>
      <c r="AF64" s="31">
        <f t="shared" si="22"/>
        <v>0.99959588125302046</v>
      </c>
      <c r="AG64" s="31">
        <f t="shared" si="74"/>
        <v>0</v>
      </c>
      <c r="AH64" s="31">
        <f t="shared" si="4"/>
        <v>0</v>
      </c>
      <c r="AI64" s="35">
        <v>8720098.6199999992</v>
      </c>
      <c r="AJ64" s="31">
        <v>0.99959588125302046</v>
      </c>
      <c r="AL64" s="57">
        <f t="shared" si="23"/>
        <v>0</v>
      </c>
    </row>
    <row r="65" spans="1:38" x14ac:dyDescent="0.3">
      <c r="A65" s="20" t="s">
        <v>280</v>
      </c>
      <c r="B65" s="12" t="str">
        <f>VLOOKUP(A65,saīsinājumi_LV_ENG!A:G,5,FALSE)</f>
        <v>Vides monitorings</v>
      </c>
      <c r="C65" s="11"/>
      <c r="D65" s="40" t="s">
        <v>345</v>
      </c>
      <c r="E65" s="40" t="s">
        <v>350</v>
      </c>
      <c r="F65" s="35">
        <v>17501206</v>
      </c>
      <c r="G65" s="35">
        <v>0</v>
      </c>
      <c r="H65" s="35">
        <f t="shared" si="75"/>
        <v>17501206</v>
      </c>
      <c r="I65" s="35">
        <v>2289729</v>
      </c>
      <c r="J65" s="35">
        <f>IFERROR((VLOOKUP(A65,AtskaiteStatusuTabula!B:AI,10,0)),0)</f>
        <v>17382831.440000001</v>
      </c>
      <c r="K65" s="31">
        <f t="shared" si="12"/>
        <v>0.99323620555063474</v>
      </c>
      <c r="L65" s="31">
        <f t="shared" si="70"/>
        <v>0</v>
      </c>
      <c r="M65" s="31">
        <f t="shared" si="19"/>
        <v>0</v>
      </c>
      <c r="N65" s="35">
        <f>IFERROR((VLOOKUP(A65,AtskaiteStatusuTabula!B:AI,17,0)),0)</f>
        <v>4</v>
      </c>
      <c r="O65" s="35">
        <v>17382831.440000001</v>
      </c>
      <c r="P65" s="31">
        <v>0.99323620555063474</v>
      </c>
      <c r="Q65" s="35">
        <f>IFERROR((VLOOKUP(A65,AtskaiteStatusuTabula!B:AI,18,0)),0)</f>
        <v>17382831.440000001</v>
      </c>
      <c r="R65" s="31">
        <f t="shared" si="71"/>
        <v>0.99323620555063474</v>
      </c>
      <c r="S65" s="31">
        <f t="shared" si="72"/>
        <v>0</v>
      </c>
      <c r="T65" s="31">
        <f>IFERROR(((Q65-V65)/V65),0)</f>
        <v>0</v>
      </c>
      <c r="U65" s="35">
        <f>IFERROR((VLOOKUP(A65,AtskaiteStatusuTabula!B:AI,23,0)),0)</f>
        <v>4</v>
      </c>
      <c r="V65" s="35">
        <v>17382831.440000001</v>
      </c>
      <c r="W65" s="31">
        <v>0.99323620555063474</v>
      </c>
      <c r="X65" s="35">
        <f>IFERROR((VLOOKUP(A65,AtskaiteStatusuTabula!B:AI,24,0)),0)</f>
        <v>17382831.440000001</v>
      </c>
      <c r="Y65" s="31">
        <f t="shared" si="73"/>
        <v>0.99323620555063474</v>
      </c>
      <c r="Z65" s="31">
        <f t="shared" si="3"/>
        <v>0</v>
      </c>
      <c r="AA65" s="31">
        <f t="shared" si="18"/>
        <v>0</v>
      </c>
      <c r="AB65" s="35">
        <f>IFERROR((VLOOKUP(A65,AtskaiteStatusuTabula!B:AI,30,0)),0)</f>
        <v>4</v>
      </c>
      <c r="AC65" s="35">
        <v>17382831.440000001</v>
      </c>
      <c r="AD65" s="31">
        <v>0.99323620555063474</v>
      </c>
      <c r="AE65" s="35">
        <f>IFERROR((VLOOKUP(A65,AtskaiteStatusuTabula!B:AI,31,0)),0)</f>
        <v>17382831.440000001</v>
      </c>
      <c r="AF65" s="31">
        <f t="shared" si="22"/>
        <v>0.99323620555063474</v>
      </c>
      <c r="AG65" s="31">
        <f t="shared" si="74"/>
        <v>0</v>
      </c>
      <c r="AH65" s="31">
        <f t="shared" si="4"/>
        <v>0</v>
      </c>
      <c r="AI65" s="35">
        <v>17382831.440000001</v>
      </c>
      <c r="AJ65" s="31">
        <v>0.99323620555063474</v>
      </c>
      <c r="AL65" s="57">
        <f t="shared" si="23"/>
        <v>0</v>
      </c>
    </row>
    <row r="66" spans="1:38" x14ac:dyDescent="0.3">
      <c r="A66" s="20" t="s">
        <v>1366</v>
      </c>
      <c r="B66" s="12" t="str">
        <f>VLOOKUP(A66,saīsinājumi_LV_ENG!A:G,5,FALSE)</f>
        <v>Dzīvotņu atjaunošana</v>
      </c>
      <c r="C66" s="11"/>
      <c r="D66" s="40" t="s">
        <v>345</v>
      </c>
      <c r="E66" s="40" t="s">
        <v>350</v>
      </c>
      <c r="F66" s="35">
        <v>3000000</v>
      </c>
      <c r="G66" s="35">
        <v>0</v>
      </c>
      <c r="H66" s="35">
        <f>F66+G66</f>
        <v>3000000</v>
      </c>
      <c r="I66" s="35">
        <v>0</v>
      </c>
      <c r="J66" s="35">
        <f>IFERROR((VLOOKUP(A66,AtskaiteStatusuTabula!B:AI,10,0)),0)</f>
        <v>2890541.68</v>
      </c>
      <c r="K66" s="31">
        <f t="shared" ref="K66" si="76">J66/F66</f>
        <v>0.96351389333333337</v>
      </c>
      <c r="L66" s="31">
        <f t="shared" ref="L66" si="77">K66-P66</f>
        <v>0</v>
      </c>
      <c r="M66" s="31">
        <f t="shared" ref="M66" si="78">IFERROR(((J66-O66)/O66),0)</f>
        <v>0</v>
      </c>
      <c r="N66" s="35">
        <f>IFERROR((VLOOKUP(A66,AtskaiteStatusuTabula!B:AI,17,0)),0)</f>
        <v>1</v>
      </c>
      <c r="O66" s="35">
        <v>2890541.68</v>
      </c>
      <c r="P66" s="31">
        <v>0.96351389333333337</v>
      </c>
      <c r="Q66" s="35">
        <f>IFERROR((VLOOKUP(A66,AtskaiteStatusuTabula!B:AI,18,0)),0)</f>
        <v>2890541.68</v>
      </c>
      <c r="R66" s="31">
        <f t="shared" ref="R66" si="79">Q66/F66</f>
        <v>0.96351389333333337</v>
      </c>
      <c r="S66" s="31">
        <f t="shared" ref="S66" si="80">R66-W66</f>
        <v>0</v>
      </c>
      <c r="T66" s="31">
        <f t="shared" ref="T66" si="81">IFERROR(((Q66-V66)/V66),0)</f>
        <v>0</v>
      </c>
      <c r="U66" s="35">
        <f>IFERROR((VLOOKUP(A66,AtskaiteStatusuTabula!B:AI,23,0)),0)</f>
        <v>1</v>
      </c>
      <c r="V66" s="35">
        <v>2890541.68</v>
      </c>
      <c r="W66" s="31">
        <v>0.96351389333333337</v>
      </c>
      <c r="X66" s="35">
        <f>IFERROR((VLOOKUP(A66,AtskaiteStatusuTabula!B:AI,24,0)),0)</f>
        <v>2890541.68</v>
      </c>
      <c r="Y66" s="31">
        <f t="shared" ref="Y66" si="82">X66/F66</f>
        <v>0.96351389333333337</v>
      </c>
      <c r="Z66" s="31">
        <f t="shared" ref="Z66" si="83">Y66-AD66</f>
        <v>0</v>
      </c>
      <c r="AA66" s="31">
        <f t="shared" ref="AA66" si="84">IFERROR(((X66-AC66)/AC66),0)</f>
        <v>0</v>
      </c>
      <c r="AB66" s="35">
        <f>IFERROR((VLOOKUP(A66,AtskaiteStatusuTabula!B:AI,30,0)),0)</f>
        <v>1</v>
      </c>
      <c r="AC66" s="35">
        <v>2890541.68</v>
      </c>
      <c r="AD66" s="31">
        <v>0.96351389333333337</v>
      </c>
      <c r="AE66" s="35">
        <f>IFERROR((VLOOKUP(A66,AtskaiteStatusuTabula!B:AI,31,0)),0)</f>
        <v>2890541.68</v>
      </c>
      <c r="AF66" s="31">
        <f t="shared" ref="AF66" si="85">IFERROR((AE66/$F66),0)</f>
        <v>0.96351389333333337</v>
      </c>
      <c r="AG66" s="31">
        <f t="shared" ref="AG66" si="86">AF66-AJ66</f>
        <v>0</v>
      </c>
      <c r="AH66" s="31">
        <f t="shared" ref="AH66" si="87">IFERROR(((AE66-AI66)/AI66),0)</f>
        <v>0</v>
      </c>
      <c r="AI66" s="35">
        <v>2890541.68</v>
      </c>
      <c r="AJ66" s="31">
        <v>0.96351389333333337</v>
      </c>
      <c r="AL66" s="57">
        <f t="shared" si="23"/>
        <v>0</v>
      </c>
    </row>
    <row r="67" spans="1:38" ht="56.25" x14ac:dyDescent="0.3">
      <c r="A67" s="20" t="s">
        <v>1368</v>
      </c>
      <c r="B67" s="12" t="str">
        <f>VLOOKUP(A67,saīsinājumi_LV_ENG!A:G,5,FALSE)</f>
        <v xml:space="preserve">Apsaimniekošanas pasākumi Natura 2000 teritorijās </v>
      </c>
      <c r="C67" s="11"/>
      <c r="D67" s="40" t="s">
        <v>345</v>
      </c>
      <c r="E67" s="40" t="s">
        <v>350</v>
      </c>
      <c r="F67" s="35">
        <v>3305108</v>
      </c>
      <c r="G67" s="35">
        <v>0</v>
      </c>
      <c r="H67" s="35">
        <f>F67+G67</f>
        <v>3305108</v>
      </c>
      <c r="I67" s="35">
        <v>1</v>
      </c>
      <c r="J67" s="35">
        <f>IFERROR((VLOOKUP(A67,AtskaiteStatusuTabula!B:AI,10,0)),0)</f>
        <v>2906861.26</v>
      </c>
      <c r="K67" s="31">
        <f t="shared" ref="K67" si="88">J67/F67</f>
        <v>0.87950568029849552</v>
      </c>
      <c r="L67" s="31">
        <f t="shared" ref="L67" si="89">K67-P67</f>
        <v>0</v>
      </c>
      <c r="M67" s="31">
        <f t="shared" ref="M67" si="90">IFERROR(((J67-O67)/O67),0)</f>
        <v>0</v>
      </c>
      <c r="N67" s="35">
        <f>IFERROR((VLOOKUP(A67,AtskaiteStatusuTabula!B:AI,17,0)),0)</f>
        <v>6</v>
      </c>
      <c r="O67" s="35">
        <v>2906861.26</v>
      </c>
      <c r="P67" s="31">
        <v>0.87950568029849552</v>
      </c>
      <c r="Q67" s="35">
        <f>IFERROR((VLOOKUP(A67,AtskaiteStatusuTabula!B:AI,18,0)),0)</f>
        <v>2906861.26</v>
      </c>
      <c r="R67" s="31">
        <f t="shared" ref="R67" si="91">Q67/F67</f>
        <v>0.87950568029849552</v>
      </c>
      <c r="S67" s="31">
        <f t="shared" ref="S67" si="92">R67-W67</f>
        <v>0</v>
      </c>
      <c r="T67" s="31">
        <f t="shared" ref="T67" si="93">IFERROR(((Q67-V67)/V67),0)</f>
        <v>0</v>
      </c>
      <c r="U67" s="35">
        <f>IFERROR((VLOOKUP(A67,AtskaiteStatusuTabula!B:AI,23,0)),0)</f>
        <v>6</v>
      </c>
      <c r="V67" s="35">
        <v>2906861.26</v>
      </c>
      <c r="W67" s="31">
        <v>0.87950568029849552</v>
      </c>
      <c r="X67" s="35">
        <f>IFERROR((VLOOKUP(A67,AtskaiteStatusuTabula!B:AI,24,0)),0)</f>
        <v>2906861.26</v>
      </c>
      <c r="Y67" s="31">
        <f t="shared" ref="Y67" si="94">X67/F67</f>
        <v>0.87950568029849552</v>
      </c>
      <c r="Z67" s="31">
        <f t="shared" ref="Z67" si="95">Y67-AD67</f>
        <v>0</v>
      </c>
      <c r="AA67" s="31">
        <f t="shared" ref="AA67" si="96">IFERROR(((X67-AC67)/AC67),0)</f>
        <v>0</v>
      </c>
      <c r="AB67" s="35">
        <f>IFERROR((VLOOKUP(A67,AtskaiteStatusuTabula!B:AI,30,0)),0)</f>
        <v>6</v>
      </c>
      <c r="AC67" s="35">
        <v>2906861.26</v>
      </c>
      <c r="AD67" s="31">
        <v>0.87950568029849552</v>
      </c>
      <c r="AE67" s="35">
        <f>IFERROR((VLOOKUP(A67,AtskaiteStatusuTabula!B:AI,31,0)),0)</f>
        <v>2906861.26</v>
      </c>
      <c r="AF67" s="31">
        <f t="shared" ref="AF67" si="97">IFERROR((AE67/$F67),0)</f>
        <v>0.87950568029849552</v>
      </c>
      <c r="AG67" s="31">
        <f t="shared" ref="AG67" si="98">AF67-AJ67</f>
        <v>0</v>
      </c>
      <c r="AH67" s="31">
        <f t="shared" ref="AH67" si="99">IFERROR(((AE67-AI67)/AI67),0)</f>
        <v>0</v>
      </c>
      <c r="AI67" s="35">
        <v>2906861.26</v>
      </c>
      <c r="AJ67" s="31">
        <v>0.87950568029849552</v>
      </c>
      <c r="AL67" s="57">
        <f t="shared" si="23"/>
        <v>0</v>
      </c>
    </row>
    <row r="68" spans="1:38" ht="37.5" x14ac:dyDescent="0.3">
      <c r="A68" s="20" t="s">
        <v>281</v>
      </c>
      <c r="B68" s="12" t="str">
        <f>VLOOKUP(A68,saīsinājumi_LV_ENG!A:G,5,FALSE)</f>
        <v>Kultūras un dabas mantojums</v>
      </c>
      <c r="C68" s="11"/>
      <c r="D68" s="40" t="s">
        <v>344</v>
      </c>
      <c r="E68" s="40" t="s">
        <v>355</v>
      </c>
      <c r="F68" s="35">
        <f>40920390+26586943</f>
        <v>67507333</v>
      </c>
      <c r="G68" s="35">
        <v>0</v>
      </c>
      <c r="H68" s="35">
        <f t="shared" si="75"/>
        <v>67507333</v>
      </c>
      <c r="I68" s="35">
        <v>0</v>
      </c>
      <c r="J68" s="35">
        <f>IFERROR((VLOOKUP(A68,AtskaiteStatusuTabula!B:AI,10,0)),0)</f>
        <v>65821749.299999997</v>
      </c>
      <c r="K68" s="31">
        <f t="shared" si="12"/>
        <v>0.97503110217670719</v>
      </c>
      <c r="L68" s="31">
        <f t="shared" si="70"/>
        <v>0</v>
      </c>
      <c r="M68" s="31">
        <f t="shared" si="19"/>
        <v>0</v>
      </c>
      <c r="N68" s="35">
        <f>IFERROR((VLOOKUP(A68,AtskaiteStatusuTabula!B:AI,17,0)),0)</f>
        <v>23</v>
      </c>
      <c r="O68" s="35">
        <v>65821749.299999997</v>
      </c>
      <c r="P68" s="31">
        <v>0.97503110217670719</v>
      </c>
      <c r="Q68" s="35">
        <f>IFERROR((VLOOKUP(A68,AtskaiteStatusuTabula!B:AI,18,0)),0)</f>
        <v>65821749.299999997</v>
      </c>
      <c r="R68" s="31">
        <f t="shared" si="71"/>
        <v>0.97503110217670719</v>
      </c>
      <c r="S68" s="31">
        <f t="shared" si="72"/>
        <v>0</v>
      </c>
      <c r="T68" s="31">
        <f t="shared" si="16"/>
        <v>0</v>
      </c>
      <c r="U68" s="35">
        <f>IFERROR((VLOOKUP(A68,AtskaiteStatusuTabula!B:AI,23,0)),0)</f>
        <v>23</v>
      </c>
      <c r="V68" s="35">
        <v>65821749.299999997</v>
      </c>
      <c r="W68" s="31">
        <v>0.97503110217670719</v>
      </c>
      <c r="X68" s="35">
        <f>IFERROR((VLOOKUP(A68,AtskaiteStatusuTabula!B:AI,24,0)),0)</f>
        <v>65821749.299999997</v>
      </c>
      <c r="Y68" s="31">
        <f t="shared" si="73"/>
        <v>0.97503110217670719</v>
      </c>
      <c r="Z68" s="31">
        <f t="shared" si="3"/>
        <v>0</v>
      </c>
      <c r="AA68" s="31">
        <f t="shared" si="18"/>
        <v>0</v>
      </c>
      <c r="AB68" s="35">
        <f>IFERROR((VLOOKUP(A68,AtskaiteStatusuTabula!B:AI,30,0)),0)</f>
        <v>23</v>
      </c>
      <c r="AC68" s="35">
        <v>65821749.299999997</v>
      </c>
      <c r="AD68" s="31">
        <v>0.97503110217670719</v>
      </c>
      <c r="AE68" s="35">
        <f>IFERROR((VLOOKUP(A68,AtskaiteStatusuTabula!B:AI,31,0)),0)</f>
        <v>64027229.880000003</v>
      </c>
      <c r="AF68" s="31">
        <f t="shared" si="22"/>
        <v>0.94844851714109346</v>
      </c>
      <c r="AG68" s="31">
        <f t="shared" si="74"/>
        <v>0</v>
      </c>
      <c r="AH68" s="31">
        <f t="shared" si="4"/>
        <v>0</v>
      </c>
      <c r="AI68" s="35">
        <v>64027229.880000003</v>
      </c>
      <c r="AJ68" s="31">
        <v>0.94844851714109346</v>
      </c>
      <c r="AL68" s="57">
        <f t="shared" si="23"/>
        <v>0</v>
      </c>
    </row>
    <row r="69" spans="1:38" x14ac:dyDescent="0.3">
      <c r="A69" s="20" t="s">
        <v>282</v>
      </c>
      <c r="B69" s="12" t="str">
        <f>VLOOKUP(A69,saīsinājumi_LV_ENG!A:G,5,FALSE)</f>
        <v>Rīgas revitalizācija</v>
      </c>
      <c r="C69" s="11"/>
      <c r="D69" s="40" t="s">
        <v>344</v>
      </c>
      <c r="E69" s="40" t="s">
        <v>355</v>
      </c>
      <c r="F69" s="35">
        <v>58552956</v>
      </c>
      <c r="G69" s="35">
        <v>0</v>
      </c>
      <c r="H69" s="35">
        <f t="shared" si="75"/>
        <v>58552956</v>
      </c>
      <c r="I69" s="35">
        <v>0</v>
      </c>
      <c r="J69" s="35">
        <f>IFERROR((VLOOKUP(A69,AtskaiteStatusuTabula!B:AI,10,0)),0)</f>
        <v>54726810.719999999</v>
      </c>
      <c r="K69" s="31">
        <f t="shared" si="12"/>
        <v>0.93465495952074562</v>
      </c>
      <c r="L69" s="31">
        <f t="shared" si="70"/>
        <v>0</v>
      </c>
      <c r="M69" s="31">
        <f t="shared" si="19"/>
        <v>0</v>
      </c>
      <c r="N69" s="35">
        <f>IFERROR((VLOOKUP(A69,AtskaiteStatusuTabula!B:AI,17,0)),0)</f>
        <v>5</v>
      </c>
      <c r="O69" s="35">
        <v>54726810.719999999</v>
      </c>
      <c r="P69" s="31">
        <v>0.93465495952074562</v>
      </c>
      <c r="Q69" s="35">
        <f>IFERROR((VLOOKUP(A69,AtskaiteStatusuTabula!B:AI,18,0)),0)</f>
        <v>54726810.719999999</v>
      </c>
      <c r="R69" s="31">
        <f t="shared" si="71"/>
        <v>0.93465495952074562</v>
      </c>
      <c r="S69" s="31">
        <f t="shared" si="72"/>
        <v>0</v>
      </c>
      <c r="T69" s="31">
        <f t="shared" si="16"/>
        <v>0</v>
      </c>
      <c r="U69" s="35">
        <f>IFERROR((VLOOKUP(A69,AtskaiteStatusuTabula!B:AI,23,0)),0)</f>
        <v>5</v>
      </c>
      <c r="V69" s="35">
        <v>54726810.719999999</v>
      </c>
      <c r="W69" s="31">
        <v>0.93465495952074562</v>
      </c>
      <c r="X69" s="35">
        <f>IFERROR((VLOOKUP(A69,AtskaiteStatusuTabula!B:AI,24,0)),0)</f>
        <v>54726810.719999999</v>
      </c>
      <c r="Y69" s="31">
        <f t="shared" si="73"/>
        <v>0.93465495952074562</v>
      </c>
      <c r="Z69" s="31">
        <f t="shared" si="3"/>
        <v>0</v>
      </c>
      <c r="AA69" s="31">
        <f t="shared" si="18"/>
        <v>0</v>
      </c>
      <c r="AB69" s="35">
        <f>IFERROR((VLOOKUP(A69,AtskaiteStatusuTabula!B:AI,30,0)),0)</f>
        <v>5</v>
      </c>
      <c r="AC69" s="35">
        <v>54726810.719999999</v>
      </c>
      <c r="AD69" s="31">
        <v>0.93465495952074562</v>
      </c>
      <c r="AE69" s="35">
        <f>IFERROR((VLOOKUP(A69,AtskaiteStatusuTabula!B:AI,31,0)),0)</f>
        <v>53219294.700000003</v>
      </c>
      <c r="AF69" s="31">
        <f t="shared" si="22"/>
        <v>0.90890876115631125</v>
      </c>
      <c r="AG69" s="31">
        <f t="shared" si="74"/>
        <v>0</v>
      </c>
      <c r="AH69" s="31">
        <f t="shared" si="4"/>
        <v>0</v>
      </c>
      <c r="AI69" s="35">
        <v>53219294.700000003</v>
      </c>
      <c r="AJ69" s="31">
        <v>0.90890876115631125</v>
      </c>
      <c r="AL69" s="57">
        <f t="shared" si="23"/>
        <v>0</v>
      </c>
    </row>
    <row r="70" spans="1:38" ht="37.5" x14ac:dyDescent="0.3">
      <c r="A70" s="20" t="s">
        <v>283</v>
      </c>
      <c r="B70" s="12" t="str">
        <f>VLOOKUP(A70,saīsinājumi_LV_ENG!A:G,5,FALSE)</f>
        <v>Degradēto teritoriju atjaunošana</v>
      </c>
      <c r="C70" s="11"/>
      <c r="D70" s="40" t="s">
        <v>344</v>
      </c>
      <c r="E70" s="40" t="s">
        <v>350</v>
      </c>
      <c r="F70" s="35">
        <v>236524372</v>
      </c>
      <c r="G70" s="35">
        <v>0</v>
      </c>
      <c r="H70" s="35">
        <f t="shared" ref="H70:H71" si="100">F70+G70</f>
        <v>236524372</v>
      </c>
      <c r="I70" s="35">
        <v>14426861</v>
      </c>
      <c r="J70" s="439">
        <f>IFERROR((VLOOKUP(A70,AtskaiteStatusuTabula!B:AI,10,0)),0)-J162</f>
        <v>209733570.53</v>
      </c>
      <c r="K70" s="31">
        <f t="shared" ref="K70:K71" si="101">J70/F70</f>
        <v>0.88673132817788436</v>
      </c>
      <c r="L70" s="31">
        <f t="shared" ref="L70:L71" si="102">K70-P70</f>
        <v>0</v>
      </c>
      <c r="M70" s="31">
        <f t="shared" ref="M70:M71" si="103">IFERROR(((J70-O70)/O70),0)</f>
        <v>0</v>
      </c>
      <c r="N70" s="439">
        <f>IFERROR((VLOOKUP(A70,AtskaiteStatusuTabula!B:AI,17,0)),0)-N162</f>
        <v>113</v>
      </c>
      <c r="O70" s="439">
        <v>209733570.53</v>
      </c>
      <c r="P70" s="440">
        <v>0.88673132817788436</v>
      </c>
      <c r="Q70" s="439">
        <f>IFERROR((VLOOKUP(A70,AtskaiteStatusuTabula!B:AI,18,0)),0)-Q162</f>
        <v>209733570.53</v>
      </c>
      <c r="R70" s="31">
        <f>Q70/F70</f>
        <v>0.88673132817788436</v>
      </c>
      <c r="S70" s="31">
        <f>R70-W70</f>
        <v>0</v>
      </c>
      <c r="T70" s="31">
        <f t="shared" ref="T70" si="104">IFERROR(((Q70-V70)/V70),0)</f>
        <v>0</v>
      </c>
      <c r="U70" s="439">
        <f>IFERROR((VLOOKUP(A70,AtskaiteStatusuTabula!B:AI,23,0)),0)-U162</f>
        <v>113</v>
      </c>
      <c r="V70" s="439">
        <v>209733570.53</v>
      </c>
      <c r="W70" s="440">
        <v>0.88673132817788436</v>
      </c>
      <c r="X70" s="439">
        <f>IFERROR((VLOOKUP(A70,AtskaiteStatusuTabula!B:AI,24,0)),0)-X162</f>
        <v>209733570.53</v>
      </c>
      <c r="Y70" s="31">
        <f t="shared" ref="Y70" si="105">X70/F70</f>
        <v>0.88673132817788436</v>
      </c>
      <c r="Z70" s="31">
        <f t="shared" ref="Z70" si="106">Y70-AD70</f>
        <v>0</v>
      </c>
      <c r="AA70" s="31">
        <f t="shared" ref="AA70" si="107">IFERROR(((X70-AC70)/AC70),0)</f>
        <v>0</v>
      </c>
      <c r="AB70" s="439">
        <f>IFERROR((VLOOKUP(A70,AtskaiteStatusuTabula!B:AI,30,0)),0)-AB162</f>
        <v>113</v>
      </c>
      <c r="AC70" s="439">
        <v>209733570.53</v>
      </c>
      <c r="AD70" s="440">
        <v>0.88673132817788436</v>
      </c>
      <c r="AE70" s="439">
        <f>IFERROR((VLOOKUP(A70,AtskaiteStatusuTabula!B:AI,31,0)),0)-AE162</f>
        <v>209304661.79999998</v>
      </c>
      <c r="AF70" s="31">
        <f t="shared" ref="AF70" si="108">IFERROR((AE70/$F70),0)</f>
        <v>0.88491794748323016</v>
      </c>
      <c r="AG70" s="31">
        <f t="shared" ref="AG70" si="109">AF70-AJ70</f>
        <v>-3.5219537545161383E-4</v>
      </c>
      <c r="AH70" s="31">
        <f t="shared" ref="AH70" si="110">IFERROR(((AE70-AI70)/AI70),0)</f>
        <v>-3.9783943725292726E-4</v>
      </c>
      <c r="AI70" s="35">
        <v>209387964.59</v>
      </c>
      <c r="AJ70" s="31">
        <v>0.88527014285868177</v>
      </c>
      <c r="AL70" s="57">
        <f t="shared" si="23"/>
        <v>0</v>
      </c>
    </row>
    <row r="71" spans="1:38" ht="25.5" customHeight="1" x14ac:dyDescent="0.3">
      <c r="A71" s="20" t="s">
        <v>462</v>
      </c>
      <c r="B71" s="12" t="str">
        <f>VLOOKUP(A71,saīsinājumi_LV_ENG!A:G,5,FALSE)</f>
        <v>Piesārņoto vietu sanācija</v>
      </c>
      <c r="C71" s="11"/>
      <c r="D71" s="40" t="s">
        <v>344</v>
      </c>
      <c r="E71" s="40" t="s">
        <v>350</v>
      </c>
      <c r="F71" s="35">
        <f>11600000+13269088</f>
        <v>24869088</v>
      </c>
      <c r="G71" s="35">
        <v>0</v>
      </c>
      <c r="H71" s="35">
        <f t="shared" si="100"/>
        <v>24869088</v>
      </c>
      <c r="I71" s="35">
        <v>0</v>
      </c>
      <c r="J71" s="35">
        <f>IFERROR((VLOOKUP(A71,AtskaiteStatusuTabula!B:AI,10,0)),0)</f>
        <v>24622878.07</v>
      </c>
      <c r="K71" s="31">
        <f t="shared" si="101"/>
        <v>0.99009976039330438</v>
      </c>
      <c r="L71" s="31">
        <f t="shared" si="102"/>
        <v>0</v>
      </c>
      <c r="M71" s="31">
        <f t="shared" si="103"/>
        <v>0</v>
      </c>
      <c r="N71" s="35">
        <f>IFERROR((VLOOKUP(A71,AtskaiteStatusuTabula!B:AI,17,0)),0)</f>
        <v>1</v>
      </c>
      <c r="O71" s="35">
        <v>24622878.07</v>
      </c>
      <c r="P71" s="31">
        <v>0.99009976039330438</v>
      </c>
      <c r="Q71" s="35">
        <f>IFERROR((VLOOKUP(A71,AtskaiteStatusuTabula!B:AI,18,0)),0)</f>
        <v>24622878.07</v>
      </c>
      <c r="R71" s="31">
        <f t="shared" ref="R71" si="111">Q71/F71</f>
        <v>0.99009976039330438</v>
      </c>
      <c r="S71" s="31">
        <f t="shared" ref="S71" si="112">R71-W71</f>
        <v>0</v>
      </c>
      <c r="T71" s="31">
        <f t="shared" ref="T71" si="113">IFERROR(((Q71-V71)/V71),0)</f>
        <v>0</v>
      </c>
      <c r="U71" s="35">
        <f>IFERROR((VLOOKUP(A71,AtskaiteStatusuTabula!B:AI,23,0)),0)</f>
        <v>1</v>
      </c>
      <c r="V71" s="35">
        <v>24622878.07</v>
      </c>
      <c r="W71" s="31">
        <v>0.99009976039330438</v>
      </c>
      <c r="X71" s="35">
        <f>IFERROR((VLOOKUP(A71,AtskaiteStatusuTabula!B:AI,24,0)),0)</f>
        <v>24622878.07</v>
      </c>
      <c r="Y71" s="31">
        <f t="shared" ref="Y71" si="114">X71/F71</f>
        <v>0.99009976039330438</v>
      </c>
      <c r="Z71" s="31">
        <f t="shared" ref="Z71" si="115">Y71-AD71</f>
        <v>0</v>
      </c>
      <c r="AA71" s="31">
        <f t="shared" ref="AA71" si="116">IFERROR(((X71-AC71)/AC71),0)</f>
        <v>0</v>
      </c>
      <c r="AB71" s="35">
        <f>IFERROR((VLOOKUP(A71,AtskaiteStatusuTabula!B:AI,30,0)),0)</f>
        <v>1</v>
      </c>
      <c r="AC71" s="35">
        <v>24622878.07</v>
      </c>
      <c r="AD71" s="31">
        <v>0.99009976039330438</v>
      </c>
      <c r="AE71" s="35">
        <f>IFERROR((VLOOKUP(A71,AtskaiteStatusuTabula!B:AI,31,0)),0)</f>
        <v>24622878.07</v>
      </c>
      <c r="AF71" s="31">
        <f t="shared" ref="AF71" si="117">IFERROR((AE71/$F71),0)</f>
        <v>0.99009976039330438</v>
      </c>
      <c r="AG71" s="31">
        <f t="shared" ref="AG71" si="118">AF71-AJ71</f>
        <v>0</v>
      </c>
      <c r="AH71" s="31">
        <f t="shared" ref="AH71" si="119">IFERROR(((AE71-AI71)/AI71),0)</f>
        <v>0</v>
      </c>
      <c r="AI71" s="35">
        <v>24622878.07</v>
      </c>
      <c r="AJ71" s="31">
        <v>0.99009976039330438</v>
      </c>
      <c r="AL71" s="57">
        <f t="shared" si="23"/>
        <v>0</v>
      </c>
    </row>
    <row r="72" spans="1:38" x14ac:dyDescent="0.3">
      <c r="A72" s="21" t="s">
        <v>71</v>
      </c>
      <c r="B72" s="10" t="str">
        <f>VLOOKUP(A72,saīsinājumi_LV_ENG!A:G,5,FALSE)</f>
        <v>Transports</v>
      </c>
      <c r="C72" s="9"/>
      <c r="D72" s="41"/>
      <c r="E72" s="41"/>
      <c r="F72" s="36">
        <f>SUM(F73:F85)</f>
        <v>886835593</v>
      </c>
      <c r="G72" s="36">
        <f>SUM(G73:G85)</f>
        <v>0</v>
      </c>
      <c r="H72" s="36">
        <f>SUM(H73:H85)</f>
        <v>886835593</v>
      </c>
      <c r="I72" s="36">
        <f>SUM(I73:I85)</f>
        <v>69622402.513883501</v>
      </c>
      <c r="J72" s="36">
        <f>SUM(J73:J85)</f>
        <v>801894815.95999992</v>
      </c>
      <c r="K72" s="32">
        <f t="shared" si="12"/>
        <v>0.90422037894006801</v>
      </c>
      <c r="L72" s="32">
        <f t="shared" si="70"/>
        <v>0</v>
      </c>
      <c r="M72" s="32">
        <f t="shared" si="19"/>
        <v>0</v>
      </c>
      <c r="N72" s="36">
        <f>SUM(N73:N85)</f>
        <v>89</v>
      </c>
      <c r="O72" s="36">
        <v>801894815.95999992</v>
      </c>
      <c r="P72" s="32">
        <v>0.90422037894006801</v>
      </c>
      <c r="Q72" s="36">
        <f>SUM(Q73:Q85)</f>
        <v>801894815.95999992</v>
      </c>
      <c r="R72" s="32">
        <f t="shared" si="71"/>
        <v>0.90422037894006801</v>
      </c>
      <c r="S72" s="32">
        <f t="shared" si="72"/>
        <v>0</v>
      </c>
      <c r="T72" s="32">
        <f t="shared" si="16"/>
        <v>0</v>
      </c>
      <c r="U72" s="36">
        <f>SUM(U73:U85)</f>
        <v>89</v>
      </c>
      <c r="V72" s="36">
        <v>801894815.95999992</v>
      </c>
      <c r="W72" s="32">
        <v>0.90422037894006801</v>
      </c>
      <c r="X72" s="36">
        <f>SUM(X73:X85)</f>
        <v>801894815.95999992</v>
      </c>
      <c r="Y72" s="32">
        <f t="shared" si="73"/>
        <v>0.90422037894006801</v>
      </c>
      <c r="Z72" s="32">
        <f t="shared" si="3"/>
        <v>0</v>
      </c>
      <c r="AA72" s="32">
        <f t="shared" si="18"/>
        <v>0</v>
      </c>
      <c r="AB72" s="36">
        <f>SUM(AB73:AB85)</f>
        <v>89</v>
      </c>
      <c r="AC72" s="36">
        <v>801894815.95999992</v>
      </c>
      <c r="AD72" s="32">
        <v>0.90422037894006801</v>
      </c>
      <c r="AE72" s="36">
        <f>SUM(AE73:AE85)</f>
        <v>802575771.75999999</v>
      </c>
      <c r="AF72" s="32">
        <f t="shared" si="22"/>
        <v>0.90498822791385192</v>
      </c>
      <c r="AG72" s="32">
        <f t="shared" si="74"/>
        <v>-2.2534357165782115E-4</v>
      </c>
      <c r="AH72" s="32">
        <f t="shared" si="4"/>
        <v>-2.4893967430034098E-4</v>
      </c>
      <c r="AI72" s="36">
        <v>802775614.45999992</v>
      </c>
      <c r="AJ72" s="32">
        <v>0.90521357148550974</v>
      </c>
      <c r="AL72" s="57">
        <f t="shared" si="23"/>
        <v>0</v>
      </c>
    </row>
    <row r="73" spans="1:38" x14ac:dyDescent="0.3">
      <c r="A73" s="20" t="s">
        <v>285</v>
      </c>
      <c r="B73" s="12" t="str">
        <f>VLOOKUP(A73,saīsinājumi_LV_ENG!A:G,5,FALSE)</f>
        <v>Lielo ostu attīstība</v>
      </c>
      <c r="C73" s="11"/>
      <c r="D73" s="40" t="s">
        <v>345</v>
      </c>
      <c r="E73" s="40" t="s">
        <v>347</v>
      </c>
      <c r="F73" s="35">
        <v>71113776</v>
      </c>
      <c r="G73" s="35">
        <v>0</v>
      </c>
      <c r="H73" s="35">
        <f t="shared" ref="H73:H85" si="120">F73+G73</f>
        <v>71113776</v>
      </c>
      <c r="I73" s="35">
        <v>5525477.0040577296</v>
      </c>
      <c r="J73" s="35">
        <f>IFERROR((VLOOKUP(A73,AtskaiteStatusuTabula!B:AI,10,0)),0)</f>
        <v>67678486.409999996</v>
      </c>
      <c r="K73" s="31">
        <f t="shared" si="12"/>
        <v>0.95169305044355956</v>
      </c>
      <c r="L73" s="31">
        <f t="shared" si="70"/>
        <v>0</v>
      </c>
      <c r="M73" s="31">
        <f t="shared" si="19"/>
        <v>0</v>
      </c>
      <c r="N73" s="35">
        <f>IFERROR((VLOOKUP(A73,AtskaiteStatusuTabula!B:AI,17,0)),0)</f>
        <v>6</v>
      </c>
      <c r="O73" s="35">
        <v>67678486.409999996</v>
      </c>
      <c r="P73" s="31">
        <v>0.95169305044355956</v>
      </c>
      <c r="Q73" s="35">
        <f>IFERROR((VLOOKUP(A73,AtskaiteStatusuTabula!B:AI,18,0)),0)</f>
        <v>67678486.409999996</v>
      </c>
      <c r="R73" s="31">
        <f t="shared" si="71"/>
        <v>0.95169305044355956</v>
      </c>
      <c r="S73" s="31">
        <f t="shared" si="72"/>
        <v>0</v>
      </c>
      <c r="T73" s="31">
        <f t="shared" si="16"/>
        <v>0</v>
      </c>
      <c r="U73" s="35">
        <f>IFERROR((VLOOKUP(A73,AtskaiteStatusuTabula!B:AI,23,0)),0)</f>
        <v>6</v>
      </c>
      <c r="V73" s="35">
        <v>67678486.409999996</v>
      </c>
      <c r="W73" s="31">
        <v>0.95169305044355956</v>
      </c>
      <c r="X73" s="35">
        <f>IFERROR((VLOOKUP(A73,AtskaiteStatusuTabula!B:AI,24,0)),0)</f>
        <v>67678486.409999996</v>
      </c>
      <c r="Y73" s="31">
        <f t="shared" si="73"/>
        <v>0.95169305044355956</v>
      </c>
      <c r="Z73" s="31">
        <f t="shared" si="3"/>
        <v>0</v>
      </c>
      <c r="AA73" s="31">
        <f t="shared" si="18"/>
        <v>0</v>
      </c>
      <c r="AB73" s="35">
        <f>IFERROR((VLOOKUP(A73,AtskaiteStatusuTabula!B:AI,30,0)),0)</f>
        <v>6</v>
      </c>
      <c r="AC73" s="35">
        <v>67678486.409999996</v>
      </c>
      <c r="AD73" s="31">
        <v>0.95169305044355956</v>
      </c>
      <c r="AE73" s="35">
        <f>IFERROR((VLOOKUP(A73,AtskaiteStatusuTabula!B:AI,31,0)),0)</f>
        <v>68830864.569999993</v>
      </c>
      <c r="AF73" s="31">
        <f t="shared" si="22"/>
        <v>0.96789776104702963</v>
      </c>
      <c r="AG73" s="31">
        <f t="shared" si="74"/>
        <v>0</v>
      </c>
      <c r="AH73" s="31">
        <f t="shared" si="4"/>
        <v>0</v>
      </c>
      <c r="AI73" s="35">
        <v>68830864.569999993</v>
      </c>
      <c r="AJ73" s="31">
        <v>0.96789776104702963</v>
      </c>
      <c r="AL73" s="57">
        <f t="shared" si="23"/>
        <v>0</v>
      </c>
    </row>
    <row r="74" spans="1:38" x14ac:dyDescent="0.3">
      <c r="A74" s="20" t="s">
        <v>286</v>
      </c>
      <c r="B74" s="12" t="str">
        <f>VLOOKUP(A74,saīsinājumi_LV_ENG!A:G,5,FALSE)</f>
        <v>Lidostas "Rīga" attīstība</v>
      </c>
      <c r="C74" s="11"/>
      <c r="D74" s="40" t="s">
        <v>345</v>
      </c>
      <c r="E74" s="40" t="s">
        <v>347</v>
      </c>
      <c r="F74" s="35">
        <v>12984765</v>
      </c>
      <c r="G74" s="35">
        <v>0</v>
      </c>
      <c r="H74" s="35">
        <f t="shared" si="120"/>
        <v>12984765</v>
      </c>
      <c r="I74" s="35">
        <v>710524.46285737399</v>
      </c>
      <c r="J74" s="35">
        <f>IFERROR((VLOOKUP(A74,AtskaiteStatusuTabula!B:AI,10,0)),0)</f>
        <v>11839585.01</v>
      </c>
      <c r="K74" s="31">
        <f t="shared" si="12"/>
        <v>0.91180587480789987</v>
      </c>
      <c r="L74" s="31">
        <f t="shared" si="70"/>
        <v>0</v>
      </c>
      <c r="M74" s="31">
        <f t="shared" si="19"/>
        <v>0</v>
      </c>
      <c r="N74" s="35">
        <f>IFERROR((VLOOKUP(A74,AtskaiteStatusuTabula!B:AI,17,0)),0)</f>
        <v>2</v>
      </c>
      <c r="O74" s="35">
        <v>11839585.01</v>
      </c>
      <c r="P74" s="31">
        <v>0.91180587480789987</v>
      </c>
      <c r="Q74" s="35">
        <f>IFERROR((VLOOKUP(A74,AtskaiteStatusuTabula!B:AI,18,0)),0)</f>
        <v>11839585.01</v>
      </c>
      <c r="R74" s="31">
        <f t="shared" si="71"/>
        <v>0.91180587480789987</v>
      </c>
      <c r="S74" s="31">
        <f t="shared" si="72"/>
        <v>0</v>
      </c>
      <c r="T74" s="31">
        <f t="shared" si="16"/>
        <v>0</v>
      </c>
      <c r="U74" s="35">
        <f>IFERROR((VLOOKUP(A74,AtskaiteStatusuTabula!B:AI,23,0)),0)</f>
        <v>2</v>
      </c>
      <c r="V74" s="35">
        <v>11839585.01</v>
      </c>
      <c r="W74" s="31">
        <v>0.91180587480789987</v>
      </c>
      <c r="X74" s="35">
        <f>IFERROR((VLOOKUP(A74,AtskaiteStatusuTabula!B:AI,24,0)),0)</f>
        <v>11839585.01</v>
      </c>
      <c r="Y74" s="31">
        <f t="shared" si="73"/>
        <v>0.91180587480789987</v>
      </c>
      <c r="Z74" s="31">
        <f t="shared" si="3"/>
        <v>0</v>
      </c>
      <c r="AA74" s="31">
        <f t="shared" si="18"/>
        <v>0</v>
      </c>
      <c r="AB74" s="35">
        <f>IFERROR((VLOOKUP(A74,AtskaiteStatusuTabula!B:AI,30,0)),0)</f>
        <v>2</v>
      </c>
      <c r="AC74" s="35">
        <v>11839585.01</v>
      </c>
      <c r="AD74" s="31">
        <v>0.91180587480789987</v>
      </c>
      <c r="AE74" s="35">
        <f>IFERROR((VLOOKUP(A74,AtskaiteStatusuTabula!B:AI,31,0)),0)</f>
        <v>11839585.01</v>
      </c>
      <c r="AF74" s="31">
        <f t="shared" si="22"/>
        <v>0.91180587480789987</v>
      </c>
      <c r="AG74" s="31">
        <f t="shared" si="74"/>
        <v>0</v>
      </c>
      <c r="AH74" s="31">
        <f t="shared" si="4"/>
        <v>0</v>
      </c>
      <c r="AI74" s="35">
        <v>11839585.01</v>
      </c>
      <c r="AJ74" s="31">
        <v>0.91180587480789987</v>
      </c>
      <c r="AL74" s="57">
        <f t="shared" si="23"/>
        <v>0</v>
      </c>
    </row>
    <row r="75" spans="1:38" ht="37.5" x14ac:dyDescent="0.3">
      <c r="A75" s="20" t="s">
        <v>287</v>
      </c>
      <c r="B75" s="12" t="str">
        <f>VLOOKUP(A75,saīsinājumi_LV_ENG!A:G,5,FALSE)</f>
        <v>Rīgas tiltu un pārvadu pārbūve</v>
      </c>
      <c r="C75" s="11"/>
      <c r="D75" s="40" t="s">
        <v>345</v>
      </c>
      <c r="E75" s="40" t="s">
        <v>347</v>
      </c>
      <c r="F75" s="35">
        <v>106823313</v>
      </c>
      <c r="G75" s="35">
        <v>0</v>
      </c>
      <c r="H75" s="35">
        <f t="shared" si="120"/>
        <v>106823313</v>
      </c>
      <c r="I75" s="35">
        <v>4646774.3627410103</v>
      </c>
      <c r="J75" s="35">
        <f>IFERROR((VLOOKUP(A75,AtskaiteStatusuTabula!B:AI,10,0)),0)</f>
        <v>106807324.67</v>
      </c>
      <c r="K75" s="31">
        <f t="shared" si="12"/>
        <v>0.9998503292066967</v>
      </c>
      <c r="L75" s="31">
        <f t="shared" si="70"/>
        <v>0</v>
      </c>
      <c r="M75" s="31">
        <f t="shared" si="19"/>
        <v>0</v>
      </c>
      <c r="N75" s="35">
        <f>IFERROR((VLOOKUP(A75,AtskaiteStatusuTabula!B:AI,17,0)),0)</f>
        <v>5</v>
      </c>
      <c r="O75" s="35">
        <v>106807324.67</v>
      </c>
      <c r="P75" s="31">
        <v>0.9998503292066967</v>
      </c>
      <c r="Q75" s="35">
        <f>IFERROR((VLOOKUP(A75,AtskaiteStatusuTabula!B:AI,18,0)),0)</f>
        <v>106807324.67</v>
      </c>
      <c r="R75" s="31">
        <f t="shared" si="71"/>
        <v>0.9998503292066967</v>
      </c>
      <c r="S75" s="31">
        <f t="shared" si="72"/>
        <v>0</v>
      </c>
      <c r="T75" s="31">
        <f t="shared" si="16"/>
        <v>0</v>
      </c>
      <c r="U75" s="35">
        <f>IFERROR((VLOOKUP(A75,AtskaiteStatusuTabula!B:AI,23,0)),0)</f>
        <v>5</v>
      </c>
      <c r="V75" s="35">
        <v>106807324.67</v>
      </c>
      <c r="W75" s="31">
        <v>0.9998503292066967</v>
      </c>
      <c r="X75" s="35">
        <f>IFERROR((VLOOKUP(A75,AtskaiteStatusuTabula!B:AI,24,0)),0)</f>
        <v>106807324.67</v>
      </c>
      <c r="Y75" s="31">
        <f t="shared" si="73"/>
        <v>0.9998503292066967</v>
      </c>
      <c r="Z75" s="31">
        <f t="shared" si="3"/>
        <v>0</v>
      </c>
      <c r="AA75" s="31">
        <f t="shared" si="18"/>
        <v>0</v>
      </c>
      <c r="AB75" s="35">
        <f>IFERROR((VLOOKUP(A75,AtskaiteStatusuTabula!B:AI,30,0)),0)</f>
        <v>5</v>
      </c>
      <c r="AC75" s="35">
        <v>106807324.67</v>
      </c>
      <c r="AD75" s="31">
        <v>0.9998503292066967</v>
      </c>
      <c r="AE75" s="35">
        <f>IFERROR((VLOOKUP(A75,AtskaiteStatusuTabula!B:AI,31,0)),0)</f>
        <v>106807324.67</v>
      </c>
      <c r="AF75" s="31">
        <f t="shared" si="22"/>
        <v>0.9998503292066967</v>
      </c>
      <c r="AG75" s="31">
        <f t="shared" si="74"/>
        <v>0</v>
      </c>
      <c r="AH75" s="31">
        <f t="shared" si="4"/>
        <v>0</v>
      </c>
      <c r="AI75" s="35">
        <v>106807324.67</v>
      </c>
      <c r="AJ75" s="31">
        <v>0.9998503292066967</v>
      </c>
      <c r="AL75" s="57">
        <f t="shared" si="23"/>
        <v>0</v>
      </c>
    </row>
    <row r="76" spans="1:38" ht="37.5" x14ac:dyDescent="0.3">
      <c r="A76" s="20" t="s">
        <v>288</v>
      </c>
      <c r="B76" s="12" t="str">
        <f>VLOOKUP(A76,saīsinājumi_LV_ENG!A:G,5,FALSE)</f>
        <v>Torņkalna multimodālais transporta mezgls</v>
      </c>
      <c r="C76" s="299"/>
      <c r="D76" s="40" t="s">
        <v>345</v>
      </c>
      <c r="E76" s="40" t="s">
        <v>347</v>
      </c>
      <c r="F76" s="35">
        <v>0</v>
      </c>
      <c r="G76" s="35">
        <v>0</v>
      </c>
      <c r="H76" s="35">
        <f t="shared" si="120"/>
        <v>0</v>
      </c>
      <c r="I76" s="35">
        <v>0</v>
      </c>
      <c r="J76" s="35">
        <f>IFERROR((VLOOKUP(A76,AtskaiteStatusuTabula!B:AI,10,0)),0)</f>
        <v>0</v>
      </c>
      <c r="K76" s="31">
        <f>IFERROR(J76/F76,0)</f>
        <v>0</v>
      </c>
      <c r="L76" s="31">
        <f>K76-P76</f>
        <v>0</v>
      </c>
      <c r="M76" s="31">
        <f t="shared" si="19"/>
        <v>0</v>
      </c>
      <c r="N76" s="35">
        <f>IFERROR((VLOOKUP(A76,AtskaiteStatusuTabula!B:AI,17,0)),0)</f>
        <v>0</v>
      </c>
      <c r="O76" s="35">
        <v>0</v>
      </c>
      <c r="P76" s="31">
        <v>0</v>
      </c>
      <c r="Q76" s="35">
        <f>IFERROR((VLOOKUP(A76,AtskaiteStatusuTabula!B:AI,18,0)),0)</f>
        <v>0</v>
      </c>
      <c r="R76" s="31">
        <f>IFERROR(Q76/F76,0)</f>
        <v>0</v>
      </c>
      <c r="S76" s="31">
        <f t="shared" si="72"/>
        <v>0</v>
      </c>
      <c r="T76" s="31">
        <f t="shared" si="16"/>
        <v>0</v>
      </c>
      <c r="U76" s="35">
        <f>IFERROR((VLOOKUP(A76,AtskaiteStatusuTabula!B:AI,23,0)),0)</f>
        <v>0</v>
      </c>
      <c r="V76" s="35">
        <v>0</v>
      </c>
      <c r="W76" s="31">
        <v>0</v>
      </c>
      <c r="X76" s="35">
        <f>IFERROR((VLOOKUP(A76,AtskaiteStatusuTabula!B:AI,24,0)),0)</f>
        <v>0</v>
      </c>
      <c r="Y76" s="31">
        <f>IFERROR(X76/F76,0)</f>
        <v>0</v>
      </c>
      <c r="Z76" s="31">
        <f t="shared" si="3"/>
        <v>0</v>
      </c>
      <c r="AA76" s="31">
        <f t="shared" si="18"/>
        <v>0</v>
      </c>
      <c r="AB76" s="35">
        <f>IFERROR((VLOOKUP(A76,AtskaiteStatusuTabula!B:AI,30,0)),0)</f>
        <v>0</v>
      </c>
      <c r="AC76" s="35">
        <v>0</v>
      </c>
      <c r="AD76" s="31">
        <v>0</v>
      </c>
      <c r="AE76" s="35">
        <f>IFERROR((VLOOKUP(A76,AtskaiteStatusuTabula!B:AI,31,0)),0)</f>
        <v>0</v>
      </c>
      <c r="AF76" s="31">
        <f t="shared" si="22"/>
        <v>0</v>
      </c>
      <c r="AG76" s="31">
        <f t="shared" si="74"/>
        <v>0</v>
      </c>
      <c r="AH76" s="31">
        <f t="shared" si="4"/>
        <v>0</v>
      </c>
      <c r="AI76" s="35">
        <v>0</v>
      </c>
      <c r="AJ76" s="31">
        <v>0</v>
      </c>
      <c r="AL76" s="57">
        <f t="shared" si="23"/>
        <v>0</v>
      </c>
    </row>
    <row r="77" spans="1:38" ht="37.5" x14ac:dyDescent="0.3">
      <c r="A77" s="20" t="s">
        <v>289</v>
      </c>
      <c r="B77" s="12" t="str">
        <f>VLOOKUP(A77,saīsinājumi_LV_ENG!A:G,5,FALSE)</f>
        <v>Rīgas pilsētas integrēšana TEN-T tīklā</v>
      </c>
      <c r="C77" s="299"/>
      <c r="D77" s="40" t="s">
        <v>345</v>
      </c>
      <c r="E77" s="40" t="s">
        <v>347</v>
      </c>
      <c r="F77" s="35">
        <v>0</v>
      </c>
      <c r="G77" s="35">
        <v>0</v>
      </c>
      <c r="H77" s="35">
        <f t="shared" si="120"/>
        <v>0</v>
      </c>
      <c r="I77" s="35">
        <v>0</v>
      </c>
      <c r="J77" s="35">
        <f>IFERROR((VLOOKUP(A77,AtskaiteStatusuTabula!B:AI,10,0)),0)</f>
        <v>0</v>
      </c>
      <c r="K77" s="31">
        <f>IFERROR(J77/F77,0)</f>
        <v>0</v>
      </c>
      <c r="L77" s="31">
        <f t="shared" si="70"/>
        <v>0</v>
      </c>
      <c r="M77" s="31">
        <f t="shared" si="19"/>
        <v>0</v>
      </c>
      <c r="N77" s="35">
        <f>IFERROR((VLOOKUP(A77,AtskaiteStatusuTabula!B:AI,17,0)),0)</f>
        <v>0</v>
      </c>
      <c r="O77" s="35">
        <v>0</v>
      </c>
      <c r="P77" s="31">
        <v>0</v>
      </c>
      <c r="Q77" s="35">
        <f>IFERROR((VLOOKUP(A77,AtskaiteStatusuTabula!B:AI,18,0)),0)</f>
        <v>0</v>
      </c>
      <c r="R77" s="31">
        <f>IFERROR(Q77/F77,0)</f>
        <v>0</v>
      </c>
      <c r="S77" s="31">
        <f t="shared" si="72"/>
        <v>0</v>
      </c>
      <c r="T77" s="31">
        <f t="shared" si="16"/>
        <v>0</v>
      </c>
      <c r="U77" s="35">
        <f>IFERROR((VLOOKUP(A77,AtskaiteStatusuTabula!B:AI,23,0)),0)</f>
        <v>0</v>
      </c>
      <c r="V77" s="35">
        <v>0</v>
      </c>
      <c r="W77" s="31">
        <v>0</v>
      </c>
      <c r="X77" s="35">
        <f>IFERROR((VLOOKUP(A77,AtskaiteStatusuTabula!B:AI,24,0)),0)</f>
        <v>0</v>
      </c>
      <c r="Y77" s="31">
        <f>IFERROR(X77/F77,0)</f>
        <v>0</v>
      </c>
      <c r="Z77" s="31">
        <f t="shared" si="3"/>
        <v>0</v>
      </c>
      <c r="AA77" s="31">
        <f t="shared" si="18"/>
        <v>0</v>
      </c>
      <c r="AB77" s="35">
        <f>IFERROR((VLOOKUP(A77,AtskaiteStatusuTabula!B:AI,30,0)),0)</f>
        <v>0</v>
      </c>
      <c r="AC77" s="35">
        <v>0</v>
      </c>
      <c r="AD77" s="31">
        <v>0</v>
      </c>
      <c r="AE77" s="35">
        <f>IFERROR((VLOOKUP(A77,AtskaiteStatusuTabula!B:AI,31,0)),0)</f>
        <v>0</v>
      </c>
      <c r="AF77" s="31">
        <f t="shared" si="22"/>
        <v>0</v>
      </c>
      <c r="AG77" s="31">
        <f t="shared" si="74"/>
        <v>0</v>
      </c>
      <c r="AH77" s="31">
        <f t="shared" si="4"/>
        <v>0</v>
      </c>
      <c r="AI77" s="35">
        <v>0</v>
      </c>
      <c r="AJ77" s="31">
        <v>0</v>
      </c>
      <c r="AL77" s="57">
        <f t="shared" si="23"/>
        <v>0</v>
      </c>
    </row>
    <row r="78" spans="1:38" ht="37.5" x14ac:dyDescent="0.3">
      <c r="A78" s="20" t="s">
        <v>290</v>
      </c>
      <c r="B78" s="12" t="str">
        <f>VLOOKUP(A78,saīsinājumi_LV_ENG!A:G,5,FALSE)</f>
        <v>Lielo pilsētu integrēšana TEN-T tīklā</v>
      </c>
      <c r="C78" s="11"/>
      <c r="D78" s="40" t="s">
        <v>345</v>
      </c>
      <c r="E78" s="40" t="s">
        <v>347</v>
      </c>
      <c r="F78" s="35">
        <v>49756932</v>
      </c>
      <c r="G78" s="35">
        <v>0</v>
      </c>
      <c r="H78" s="35">
        <f t="shared" si="120"/>
        <v>49756932</v>
      </c>
      <c r="I78" s="35">
        <v>2778862.1693609902</v>
      </c>
      <c r="J78" s="35">
        <f>IFERROR((VLOOKUP(A78,AtskaiteStatusuTabula!B:AI,10,0)),0)</f>
        <v>44979146.530000001</v>
      </c>
      <c r="K78" s="31">
        <f t="shared" si="12"/>
        <v>0.9039774906137702</v>
      </c>
      <c r="L78" s="31">
        <f t="shared" si="70"/>
        <v>0</v>
      </c>
      <c r="M78" s="31">
        <f t="shared" si="19"/>
        <v>0</v>
      </c>
      <c r="N78" s="35">
        <f>IFERROR((VLOOKUP(A78,AtskaiteStatusuTabula!B:AI,17,0)),0)</f>
        <v>9</v>
      </c>
      <c r="O78" s="35">
        <v>44979146.530000001</v>
      </c>
      <c r="P78" s="31">
        <v>0.9039774906137702</v>
      </c>
      <c r="Q78" s="35">
        <f>IFERROR((VLOOKUP(A78,AtskaiteStatusuTabula!B:AI,18,0)),0)</f>
        <v>44979146.530000001</v>
      </c>
      <c r="R78" s="31">
        <f t="shared" si="71"/>
        <v>0.9039774906137702</v>
      </c>
      <c r="S78" s="31">
        <f t="shared" si="72"/>
        <v>0</v>
      </c>
      <c r="T78" s="31">
        <f t="shared" si="16"/>
        <v>0</v>
      </c>
      <c r="U78" s="35">
        <f>IFERROR((VLOOKUP(A78,AtskaiteStatusuTabula!B:AI,23,0)),0)</f>
        <v>9</v>
      </c>
      <c r="V78" s="35">
        <v>44979146.530000001</v>
      </c>
      <c r="W78" s="31">
        <v>0.9039774906137702</v>
      </c>
      <c r="X78" s="35">
        <f>IFERROR((VLOOKUP(A78,AtskaiteStatusuTabula!B:AI,24,0)),0)</f>
        <v>44979146.530000001</v>
      </c>
      <c r="Y78" s="31">
        <f t="shared" si="73"/>
        <v>0.9039774906137702</v>
      </c>
      <c r="Z78" s="31">
        <f t="shared" ref="Z78:Z145" si="121">Y78-AD78</f>
        <v>0</v>
      </c>
      <c r="AA78" s="31">
        <f t="shared" si="18"/>
        <v>0</v>
      </c>
      <c r="AB78" s="35">
        <f>IFERROR((VLOOKUP(A78,AtskaiteStatusuTabula!B:AI,30,0)),0)</f>
        <v>9</v>
      </c>
      <c r="AC78" s="35">
        <v>44979146.530000001</v>
      </c>
      <c r="AD78" s="31">
        <v>0.9039774906137702</v>
      </c>
      <c r="AE78" s="35">
        <f>IFERROR((VLOOKUP(A78,AtskaiteStatusuTabula!B:AI,31,0)),0)</f>
        <v>45378831.93</v>
      </c>
      <c r="AF78" s="31">
        <f t="shared" si="22"/>
        <v>0.91201024874282843</v>
      </c>
      <c r="AG78" s="31">
        <f t="shared" si="74"/>
        <v>-4.0163790645292297E-3</v>
      </c>
      <c r="AH78" s="31">
        <f t="shared" si="4"/>
        <v>-4.3845658440551929E-3</v>
      </c>
      <c r="AI78" s="35">
        <v>45578674.630000003</v>
      </c>
      <c r="AJ78" s="31">
        <v>0.91602662780735766</v>
      </c>
      <c r="AL78" s="57">
        <f t="shared" ref="AL78:AL142" si="122">IF(X78&gt;(F78+G78),F78+G78-X78,0)</f>
        <v>0</v>
      </c>
    </row>
    <row r="79" spans="1:38" x14ac:dyDescent="0.3">
      <c r="A79" s="20" t="s">
        <v>291</v>
      </c>
      <c r="B79" s="12" t="str">
        <f>VLOOKUP(A79,saīsinājumi_LV_ENG!A:G,5,FALSE)</f>
        <v>Galveno autoceļu pārbūve</v>
      </c>
      <c r="C79" s="11"/>
      <c r="D79" s="40" t="s">
        <v>345</v>
      </c>
      <c r="E79" s="40" t="s">
        <v>347</v>
      </c>
      <c r="F79" s="35">
        <v>257791486</v>
      </c>
      <c r="G79" s="35">
        <v>0</v>
      </c>
      <c r="H79" s="35">
        <f t="shared" si="120"/>
        <v>257791486</v>
      </c>
      <c r="I79" s="35">
        <v>13514767.514866401</v>
      </c>
      <c r="J79" s="35">
        <f>IFERROR((VLOOKUP(A79,AtskaiteStatusuTabula!B:AI,10,0)),0)</f>
        <v>252454762.66999999</v>
      </c>
      <c r="K79" s="31">
        <f t="shared" si="12"/>
        <v>0.97929829486300413</v>
      </c>
      <c r="L79" s="31">
        <f t="shared" si="70"/>
        <v>0</v>
      </c>
      <c r="M79" s="31">
        <f t="shared" si="19"/>
        <v>0</v>
      </c>
      <c r="N79" s="35">
        <f>IFERROR((VLOOKUP(A79,AtskaiteStatusuTabula!B:AI,17,0)),0)</f>
        <v>24</v>
      </c>
      <c r="O79" s="35">
        <v>252454762.66999999</v>
      </c>
      <c r="P79" s="31">
        <v>0.97929829486300413</v>
      </c>
      <c r="Q79" s="35">
        <f>IFERROR((VLOOKUP(A79,AtskaiteStatusuTabula!B:AI,18,0)),0)</f>
        <v>252454762.66999999</v>
      </c>
      <c r="R79" s="31">
        <f t="shared" si="71"/>
        <v>0.97929829486300413</v>
      </c>
      <c r="S79" s="31">
        <f t="shared" si="72"/>
        <v>0</v>
      </c>
      <c r="T79" s="31">
        <f t="shared" si="16"/>
        <v>0</v>
      </c>
      <c r="U79" s="35">
        <f>IFERROR((VLOOKUP(A79,AtskaiteStatusuTabula!B:AI,23,0)),0)</f>
        <v>24</v>
      </c>
      <c r="V79" s="35">
        <v>252454762.66999999</v>
      </c>
      <c r="W79" s="31">
        <v>0.97929829486300413</v>
      </c>
      <c r="X79" s="35">
        <f>IFERROR((VLOOKUP(A79,AtskaiteStatusuTabula!B:AI,24,0)),0)</f>
        <v>252454762.66999999</v>
      </c>
      <c r="Y79" s="31">
        <f t="shared" si="73"/>
        <v>0.97929829486300413</v>
      </c>
      <c r="Z79" s="31">
        <f t="shared" si="121"/>
        <v>0</v>
      </c>
      <c r="AA79" s="31">
        <f t="shared" si="18"/>
        <v>0</v>
      </c>
      <c r="AB79" s="35">
        <f>IFERROR((VLOOKUP(A79,AtskaiteStatusuTabula!B:AI,30,0)),0)</f>
        <v>24</v>
      </c>
      <c r="AC79" s="35">
        <v>252454762.66999999</v>
      </c>
      <c r="AD79" s="31">
        <v>0.97929829486300413</v>
      </c>
      <c r="AE79" s="35">
        <f>IFERROR((VLOOKUP(A79,AtskaiteStatusuTabula!B:AI,31,0)),0)</f>
        <v>251921771.31</v>
      </c>
      <c r="AF79" s="31">
        <f t="shared" si="22"/>
        <v>0.9772307659144337</v>
      </c>
      <c r="AG79" s="31">
        <f t="shared" si="74"/>
        <v>0</v>
      </c>
      <c r="AH79" s="31">
        <f t="shared" ref="AH79:AH146" si="123">IFERROR(((AE79-AI79)/AI79),0)</f>
        <v>0</v>
      </c>
      <c r="AI79" s="35">
        <v>251921771.31</v>
      </c>
      <c r="AJ79" s="31">
        <v>0.9772307659144337</v>
      </c>
      <c r="AL79" s="57">
        <f t="shared" si="122"/>
        <v>0</v>
      </c>
    </row>
    <row r="80" spans="1:38" ht="56.25" x14ac:dyDescent="0.3">
      <c r="A80" s="20" t="s">
        <v>1295</v>
      </c>
      <c r="B80" s="12" t="str">
        <f>VLOOKUP(A80,saīsinājumi_LV_ENG!A:G,5,FALSE)</f>
        <v>Transporta nozares informācijas piekļuves punkta izveide</v>
      </c>
      <c r="C80" s="11"/>
      <c r="D80" s="40" t="s">
        <v>345</v>
      </c>
      <c r="E80" s="40" t="s">
        <v>347</v>
      </c>
      <c r="F80" s="35">
        <v>5000000</v>
      </c>
      <c r="G80" s="35">
        <v>0</v>
      </c>
      <c r="H80" s="35">
        <f t="shared" si="120"/>
        <v>5000000</v>
      </c>
      <c r="I80" s="35"/>
      <c r="J80" s="35">
        <f>IFERROR((VLOOKUP(A80,AtskaiteStatusuTabula!B:AI,10,0)),0)</f>
        <v>4167215.19</v>
      </c>
      <c r="K80" s="31">
        <f>IFERROR(J80/F80,0)</f>
        <v>0.83344303799999997</v>
      </c>
      <c r="L80" s="31">
        <f t="shared" ref="L80" si="124">K80-P80</f>
        <v>0</v>
      </c>
      <c r="M80" s="31">
        <f t="shared" ref="M80" si="125">IFERROR(((J80-O80)/O80),0)</f>
        <v>0</v>
      </c>
      <c r="N80" s="35">
        <f>IFERROR((VLOOKUP(A80,AtskaiteStatusuTabula!B:AI,17,0)),0)</f>
        <v>1</v>
      </c>
      <c r="O80" s="35">
        <v>4167215.19</v>
      </c>
      <c r="P80" s="31">
        <v>0.83344303799999997</v>
      </c>
      <c r="Q80" s="35">
        <f>IFERROR((VLOOKUP(A80,AtskaiteStatusuTabula!B:AI,18,0)),0)</f>
        <v>4167215.19</v>
      </c>
      <c r="R80" s="31">
        <f>IFERROR(Q80/F80,0)</f>
        <v>0.83344303799999997</v>
      </c>
      <c r="S80" s="31">
        <f t="shared" ref="S80" si="126">R80-W80</f>
        <v>0</v>
      </c>
      <c r="T80" s="31">
        <f t="shared" ref="T80" si="127">IFERROR(((Q80-V80)/V80),0)</f>
        <v>0</v>
      </c>
      <c r="U80" s="35">
        <f>IFERROR((VLOOKUP(A80,AtskaiteStatusuTabula!B:AI,23,0)),0)</f>
        <v>1</v>
      </c>
      <c r="V80" s="35">
        <v>4167215.19</v>
      </c>
      <c r="W80" s="31">
        <v>0.83344303799999997</v>
      </c>
      <c r="X80" s="35">
        <f>IFERROR((VLOOKUP(A80,AtskaiteStatusuTabula!B:AI,24,0)),0)</f>
        <v>4167215.19</v>
      </c>
      <c r="Y80" s="31">
        <f>IFERROR(X80/F80,0)</f>
        <v>0.83344303799999997</v>
      </c>
      <c r="Z80" s="31">
        <f t="shared" ref="Z80" si="128">Y80-AD80</f>
        <v>0</v>
      </c>
      <c r="AA80" s="31">
        <f t="shared" ref="AA80" si="129">IFERROR(((X80-AC80)/AC80),0)</f>
        <v>0</v>
      </c>
      <c r="AB80" s="35">
        <f>IFERROR((VLOOKUP(A80,AtskaiteStatusuTabula!B:AI,30,0)),0)</f>
        <v>1</v>
      </c>
      <c r="AC80" s="35">
        <v>4167215.19</v>
      </c>
      <c r="AD80" s="31">
        <v>0.83344303799999997</v>
      </c>
      <c r="AE80" s="35">
        <f>IFERROR((VLOOKUP(A80,AtskaiteStatusuTabula!B:AI,31,0)),0)</f>
        <v>4167215.19</v>
      </c>
      <c r="AF80" s="31">
        <f t="shared" ref="AF80" si="130">IFERROR((AE80/$F80),0)</f>
        <v>0.83344303799999997</v>
      </c>
      <c r="AG80" s="31">
        <f t="shared" ref="AG80" si="131">AF80-AJ80</f>
        <v>0</v>
      </c>
      <c r="AH80" s="31">
        <f t="shared" ref="AH80" si="132">IFERROR(((AE80-AI80)/AI80),0)</f>
        <v>0</v>
      </c>
      <c r="AI80" s="35">
        <v>4167215.19</v>
      </c>
      <c r="AJ80" s="31">
        <v>0.83344303799999997</v>
      </c>
      <c r="AL80" s="57">
        <f t="shared" si="122"/>
        <v>0</v>
      </c>
    </row>
    <row r="81" spans="1:38" ht="56.25" x14ac:dyDescent="0.3">
      <c r="A81" s="20" t="s">
        <v>1338</v>
      </c>
      <c r="B81" s="12" t="s">
        <v>1341</v>
      </c>
      <c r="C81" s="11"/>
      <c r="D81" s="40" t="s">
        <v>345</v>
      </c>
      <c r="E81" s="40" t="s">
        <v>347</v>
      </c>
      <c r="F81" s="35">
        <v>23800000</v>
      </c>
      <c r="G81" s="35">
        <v>0</v>
      </c>
      <c r="H81" s="35">
        <f t="shared" si="120"/>
        <v>23800000</v>
      </c>
      <c r="I81" s="35"/>
      <c r="J81" s="35">
        <f>IFERROR((VLOOKUP(A81,AtskaiteStatusuTabula!B:AI,10,0)),0)</f>
        <v>21501368.760000002</v>
      </c>
      <c r="K81" s="31">
        <f>IFERROR(J81/F81,0)</f>
        <v>0.90341885546218492</v>
      </c>
      <c r="L81" s="31">
        <f t="shared" ref="L81:L82" si="133">K81-P81</f>
        <v>0</v>
      </c>
      <c r="M81" s="31">
        <f t="shared" ref="M81:M82" si="134">IFERROR(((J81-O81)/O81),0)</f>
        <v>0</v>
      </c>
      <c r="N81" s="35">
        <f>IFERROR((VLOOKUP(A81,AtskaiteStatusuTabula!B:AI,17,0)),0)</f>
        <v>1</v>
      </c>
      <c r="O81" s="35">
        <v>21501368.760000002</v>
      </c>
      <c r="P81" s="31">
        <v>0.90341885546218492</v>
      </c>
      <c r="Q81" s="35">
        <f>IFERROR((VLOOKUP(A81,AtskaiteStatusuTabula!B:AI,18,0)),0)</f>
        <v>21501368.760000002</v>
      </c>
      <c r="R81" s="31">
        <f>IFERROR(Q81/F81,0)</f>
        <v>0.90341885546218492</v>
      </c>
      <c r="S81" s="31">
        <f t="shared" ref="S81" si="135">R81-W81</f>
        <v>0</v>
      </c>
      <c r="T81" s="31">
        <f t="shared" ref="T81" si="136">IFERROR(((Q81-V81)/V81),0)</f>
        <v>0</v>
      </c>
      <c r="U81" s="35">
        <f>IFERROR((VLOOKUP(A81,AtskaiteStatusuTabula!B:AI,23,0)),0)</f>
        <v>1</v>
      </c>
      <c r="V81" s="35">
        <v>21501368.760000002</v>
      </c>
      <c r="W81" s="31">
        <v>0.90341885546218492</v>
      </c>
      <c r="X81" s="35">
        <f>IFERROR((VLOOKUP(A81,AtskaiteStatusuTabula!B:AI,24,0)),0)</f>
        <v>21501368.760000002</v>
      </c>
      <c r="Y81" s="31">
        <f>IFERROR(X81/F81,0)</f>
        <v>0.90341885546218492</v>
      </c>
      <c r="Z81" s="31">
        <f t="shared" ref="Z81" si="137">Y81-AD81</f>
        <v>0</v>
      </c>
      <c r="AA81" s="31">
        <f t="shared" ref="AA81" si="138">IFERROR(((X81-AC81)/AC81),0)</f>
        <v>0</v>
      </c>
      <c r="AB81" s="35">
        <f>IFERROR((VLOOKUP(A81,AtskaiteStatusuTabula!B:AI,30,0)),0)</f>
        <v>1</v>
      </c>
      <c r="AC81" s="35">
        <v>21501368.760000002</v>
      </c>
      <c r="AD81" s="31">
        <v>0.90341885546218492</v>
      </c>
      <c r="AE81" s="35">
        <f>IFERROR((VLOOKUP(A81,AtskaiteStatusuTabula!B:AI,31,0)),0)</f>
        <v>21501368.760000002</v>
      </c>
      <c r="AF81" s="31">
        <f t="shared" ref="AF81" si="139">IFERROR((AE81/$F81),0)</f>
        <v>0.90341885546218492</v>
      </c>
      <c r="AG81" s="31">
        <f t="shared" ref="AG81" si="140">AF81-AJ81</f>
        <v>0</v>
      </c>
      <c r="AH81" s="31">
        <f t="shared" ref="AH81" si="141">IFERROR(((AE81-AI81)/AI81),0)</f>
        <v>0</v>
      </c>
      <c r="AI81" s="35">
        <v>21501368.760000002</v>
      </c>
      <c r="AJ81" s="31">
        <v>0.90341885546218492</v>
      </c>
      <c r="AL81" s="57">
        <f t="shared" si="122"/>
        <v>0</v>
      </c>
    </row>
    <row r="82" spans="1:38" ht="35.1" customHeight="1" x14ac:dyDescent="0.3">
      <c r="A82" s="20" t="s">
        <v>1339</v>
      </c>
      <c r="B82" s="12" t="s">
        <v>1538</v>
      </c>
      <c r="C82" s="11"/>
      <c r="D82" s="40" t="s">
        <v>345</v>
      </c>
      <c r="E82" s="40" t="s">
        <v>347</v>
      </c>
      <c r="F82" s="35">
        <v>1000000</v>
      </c>
      <c r="G82" s="35">
        <v>0</v>
      </c>
      <c r="H82" s="35">
        <f t="shared" si="120"/>
        <v>1000000</v>
      </c>
      <c r="I82" s="35"/>
      <c r="J82" s="35">
        <f>IFERROR((VLOOKUP(A82,AtskaiteStatusuTabula!B:AI,10,0)),0)</f>
        <v>952787.7</v>
      </c>
      <c r="K82" s="31">
        <f>IFERROR(J82/F82,0)</f>
        <v>0.9527876999999999</v>
      </c>
      <c r="L82" s="31">
        <f t="shared" si="133"/>
        <v>0</v>
      </c>
      <c r="M82" s="31">
        <f t="shared" si="134"/>
        <v>0</v>
      </c>
      <c r="N82" s="35">
        <f>IFERROR((VLOOKUP(A82,AtskaiteStatusuTabula!B:AI,17,0)),0)</f>
        <v>1</v>
      </c>
      <c r="O82" s="35">
        <v>952787.7</v>
      </c>
      <c r="P82" s="31">
        <v>0.9527876999999999</v>
      </c>
      <c r="Q82" s="35">
        <f>IFERROR((VLOOKUP(A82,AtskaiteStatusuTabula!B:AI,18,0)),0)</f>
        <v>952787.7</v>
      </c>
      <c r="R82" s="31">
        <f>IFERROR(Q82/F82,0)</f>
        <v>0.9527876999999999</v>
      </c>
      <c r="S82" s="31">
        <f t="shared" ref="S82" si="142">R82-W82</f>
        <v>0</v>
      </c>
      <c r="T82" s="31">
        <f t="shared" ref="T82" si="143">IFERROR(((Q82-V82)/V82),0)</f>
        <v>0</v>
      </c>
      <c r="U82" s="35">
        <f>IFERROR((VLOOKUP(A82,AtskaiteStatusuTabula!B:AI,23,0)),0)</f>
        <v>1</v>
      </c>
      <c r="V82" s="35">
        <v>952787.7</v>
      </c>
      <c r="W82" s="31">
        <v>0.9527876999999999</v>
      </c>
      <c r="X82" s="35">
        <f>IFERROR((VLOOKUP(A82,AtskaiteStatusuTabula!B:AI,24,0)),0)</f>
        <v>952787.7</v>
      </c>
      <c r="Y82" s="31">
        <f>IFERROR(X82/F82,0)</f>
        <v>0.9527876999999999</v>
      </c>
      <c r="Z82" s="31">
        <f t="shared" ref="Z82" si="144">Y82-AD82</f>
        <v>0</v>
      </c>
      <c r="AA82" s="31">
        <f t="shared" ref="AA82" si="145">IFERROR(((X82-AC82)/AC82),0)</f>
        <v>0</v>
      </c>
      <c r="AB82" s="35">
        <f>IFERROR((VLOOKUP(A82,AtskaiteStatusuTabula!B:AI,30,0)),0)</f>
        <v>1</v>
      </c>
      <c r="AC82" s="35">
        <v>952787.7</v>
      </c>
      <c r="AD82" s="31">
        <v>0.9527876999999999</v>
      </c>
      <c r="AE82" s="35">
        <f>IFERROR((VLOOKUP(A82,AtskaiteStatusuTabula!B:AI,31,0)),0)</f>
        <v>952787.7</v>
      </c>
      <c r="AF82" s="31">
        <f t="shared" ref="AF82" si="146">IFERROR((AE82/$F82),0)</f>
        <v>0.9527876999999999</v>
      </c>
      <c r="AG82" s="31">
        <f t="shared" ref="AG82" si="147">AF82-AJ82</f>
        <v>0</v>
      </c>
      <c r="AH82" s="31">
        <f t="shared" ref="AH82" si="148">IFERROR(((AE82-AI82)/AI82),0)</f>
        <v>0</v>
      </c>
      <c r="AI82" s="35">
        <v>952787.7</v>
      </c>
      <c r="AJ82" s="31">
        <v>0.9527876999999999</v>
      </c>
      <c r="AL82" s="57"/>
    </row>
    <row r="83" spans="1:38" x14ac:dyDescent="0.3">
      <c r="A83" s="20" t="s">
        <v>292</v>
      </c>
      <c r="B83" s="12" t="str">
        <f>VLOOKUP(A83,saīsinājumi_LV_ENG!A:G,5,FALSE)</f>
        <v>Dzelzceļa elektrifikācija</v>
      </c>
      <c r="C83" s="11"/>
      <c r="D83" s="40" t="s">
        <v>345</v>
      </c>
      <c r="E83" s="40" t="s">
        <v>347</v>
      </c>
      <c r="F83" s="35">
        <v>0</v>
      </c>
      <c r="G83" s="35">
        <v>0</v>
      </c>
      <c r="H83" s="35">
        <f t="shared" si="120"/>
        <v>0</v>
      </c>
      <c r="I83" s="35">
        <v>28082986</v>
      </c>
      <c r="J83" s="35">
        <f>IFERROR((VLOOKUP(A83,AtskaiteStatusuTabula!B:AI,10,0)),0)</f>
        <v>0</v>
      </c>
      <c r="K83" s="31">
        <f>IFERROR(J83/F83,0)</f>
        <v>0</v>
      </c>
      <c r="L83" s="31">
        <f t="shared" si="70"/>
        <v>0</v>
      </c>
      <c r="M83" s="31">
        <f t="shared" si="19"/>
        <v>0</v>
      </c>
      <c r="N83" s="35">
        <f>IFERROR((VLOOKUP(A83,AtskaiteStatusuTabula!B:AI,17,0)),0)</f>
        <v>0</v>
      </c>
      <c r="O83" s="35">
        <v>0</v>
      </c>
      <c r="P83" s="31">
        <v>0</v>
      </c>
      <c r="Q83" s="35">
        <f>IFERROR((VLOOKUP(A83,AtskaiteStatusuTabula!B:AI,18,0)),0)</f>
        <v>0</v>
      </c>
      <c r="R83" s="31">
        <f>IFERROR(Q83/F83,0)</f>
        <v>0</v>
      </c>
      <c r="S83" s="31">
        <f t="shared" si="72"/>
        <v>0</v>
      </c>
      <c r="T83" s="31">
        <f t="shared" si="16"/>
        <v>0</v>
      </c>
      <c r="U83" s="35">
        <f>IFERROR((VLOOKUP(A83,AtskaiteStatusuTabula!B:AI,23,0)),0)</f>
        <v>0</v>
      </c>
      <c r="V83" s="35">
        <v>0</v>
      </c>
      <c r="W83" s="31">
        <v>0</v>
      </c>
      <c r="X83" s="35">
        <f>IFERROR((VLOOKUP(A83,AtskaiteStatusuTabula!B:AI,24,0)),0)</f>
        <v>0</v>
      </c>
      <c r="Y83" s="31">
        <f>IFERROR(X83/F83,0)</f>
        <v>0</v>
      </c>
      <c r="Z83" s="31">
        <f t="shared" si="121"/>
        <v>0</v>
      </c>
      <c r="AA83" s="31">
        <f t="shared" si="18"/>
        <v>0</v>
      </c>
      <c r="AB83" s="35">
        <f>IFERROR((VLOOKUP(A83,AtskaiteStatusuTabula!B:AI,30,0)),0)</f>
        <v>0</v>
      </c>
      <c r="AC83" s="35">
        <v>0</v>
      </c>
      <c r="AD83" s="31">
        <v>0</v>
      </c>
      <c r="AE83" s="35">
        <f>IFERROR((VLOOKUP(A83,AtskaiteStatusuTabula!B:AI,31,0)),0)</f>
        <v>0</v>
      </c>
      <c r="AF83" s="31">
        <f t="shared" si="22"/>
        <v>0</v>
      </c>
      <c r="AG83" s="31">
        <f t="shared" si="74"/>
        <v>0</v>
      </c>
      <c r="AH83" s="31">
        <f t="shared" si="123"/>
        <v>0</v>
      </c>
      <c r="AI83" s="35">
        <v>0</v>
      </c>
      <c r="AJ83" s="31">
        <v>0</v>
      </c>
      <c r="AL83" s="57">
        <f t="shared" si="122"/>
        <v>0</v>
      </c>
    </row>
    <row r="84" spans="1:38" x14ac:dyDescent="0.3">
      <c r="A84" s="20" t="s">
        <v>293</v>
      </c>
      <c r="B84" s="12" t="str">
        <f>VLOOKUP(A84,saīsinājumi_LV_ENG!A:G,5,FALSE)</f>
        <v>Dzelzceļa infrastruktūra</v>
      </c>
      <c r="C84" s="11"/>
      <c r="D84" s="40" t="s">
        <v>345</v>
      </c>
      <c r="E84" s="40" t="s">
        <v>347</v>
      </c>
      <c r="F84" s="98">
        <v>123087758</v>
      </c>
      <c r="G84" s="35">
        <v>0</v>
      </c>
      <c r="H84" s="98">
        <f t="shared" si="120"/>
        <v>123087758</v>
      </c>
      <c r="I84" s="35">
        <v>0</v>
      </c>
      <c r="J84" s="35">
        <f>IFERROR((VLOOKUP(A84,AtskaiteStatusuTabula!B:AI,10,0)),0)</f>
        <v>61815726.850000001</v>
      </c>
      <c r="K84" s="31">
        <f t="shared" si="12"/>
        <v>0.50220856935260771</v>
      </c>
      <c r="L84" s="31">
        <f t="shared" si="70"/>
        <v>0</v>
      </c>
      <c r="M84" s="31">
        <f t="shared" si="19"/>
        <v>0</v>
      </c>
      <c r="N84" s="35">
        <f>IFERROR((VLOOKUP(A84,AtskaiteStatusuTabula!B:AI,17,0)),0)</f>
        <v>3</v>
      </c>
      <c r="O84" s="35">
        <v>61815726.850000001</v>
      </c>
      <c r="P84" s="31">
        <v>0.50220856935260771</v>
      </c>
      <c r="Q84" s="35">
        <f>IFERROR((VLOOKUP(A84,AtskaiteStatusuTabula!B:AI,18,0)),0)</f>
        <v>61815726.850000001</v>
      </c>
      <c r="R84" s="31">
        <f t="shared" si="71"/>
        <v>0.50220856935260771</v>
      </c>
      <c r="S84" s="31">
        <f t="shared" si="72"/>
        <v>0</v>
      </c>
      <c r="T84" s="31">
        <f t="shared" si="16"/>
        <v>0</v>
      </c>
      <c r="U84" s="35">
        <f>IFERROR((VLOOKUP(A84,AtskaiteStatusuTabula!B:AI,23,0)),0)</f>
        <v>3</v>
      </c>
      <c r="V84" s="35">
        <v>61815726.850000001</v>
      </c>
      <c r="W84" s="31">
        <v>0.50220856935260771</v>
      </c>
      <c r="X84" s="35">
        <f>IFERROR((VLOOKUP(A84,AtskaiteStatusuTabula!B:AI,24,0)),0)</f>
        <v>61815726.850000001</v>
      </c>
      <c r="Y84" s="31">
        <f t="shared" si="73"/>
        <v>0.50220856935260771</v>
      </c>
      <c r="Z84" s="31">
        <f t="shared" si="121"/>
        <v>0</v>
      </c>
      <c r="AA84" s="31">
        <f t="shared" si="18"/>
        <v>0</v>
      </c>
      <c r="AB84" s="35">
        <f>IFERROR((VLOOKUP(A84,AtskaiteStatusuTabula!B:AI,30,0)),0)</f>
        <v>3</v>
      </c>
      <c r="AC84" s="35">
        <v>61815726.850000001</v>
      </c>
      <c r="AD84" s="31">
        <v>0.50220856935260771</v>
      </c>
      <c r="AE84" s="35">
        <f>IFERROR((VLOOKUP(A84,AtskaiteStatusuTabula!B:AI,31,0)),0)</f>
        <v>61815726.850000001</v>
      </c>
      <c r="AF84" s="31">
        <f t="shared" si="22"/>
        <v>0.50220856935260771</v>
      </c>
      <c r="AG84" s="31">
        <f t="shared" si="74"/>
        <v>0</v>
      </c>
      <c r="AH84" s="31">
        <f t="shared" si="123"/>
        <v>0</v>
      </c>
      <c r="AI84" s="35">
        <v>61815726.850000001</v>
      </c>
      <c r="AJ84" s="31">
        <v>0.50220856935260771</v>
      </c>
      <c r="AL84" s="57">
        <f t="shared" si="122"/>
        <v>0</v>
      </c>
    </row>
    <row r="85" spans="1:38" ht="37.5" x14ac:dyDescent="0.3">
      <c r="A85" s="20" t="s">
        <v>294</v>
      </c>
      <c r="B85" s="12" t="str">
        <f>VLOOKUP(A85,saīsinājumi_LV_ENG!A:G,5,FALSE)</f>
        <v>Reģionālo autoceļu pārbūve</v>
      </c>
      <c r="C85" s="11"/>
      <c r="D85" s="40" t="s">
        <v>344</v>
      </c>
      <c r="E85" s="40" t="s">
        <v>347</v>
      </c>
      <c r="F85" s="35">
        <v>235477563</v>
      </c>
      <c r="G85" s="35">
        <v>0</v>
      </c>
      <c r="H85" s="35">
        <f t="shared" si="120"/>
        <v>235477563</v>
      </c>
      <c r="I85" s="35">
        <v>14363011</v>
      </c>
      <c r="J85" s="35">
        <f>IFERROR((VLOOKUP(A85,AtskaiteStatusuTabula!B:AI,10,0)),0)</f>
        <v>229698412.16999999</v>
      </c>
      <c r="K85" s="31">
        <f t="shared" si="12"/>
        <v>0.97545774316510991</v>
      </c>
      <c r="L85" s="31">
        <f t="shared" si="70"/>
        <v>0</v>
      </c>
      <c r="M85" s="31">
        <f t="shared" si="19"/>
        <v>0</v>
      </c>
      <c r="N85" s="35">
        <f>IFERROR((VLOOKUP(A85,AtskaiteStatusuTabula!B:AI,17,0)),0)</f>
        <v>37</v>
      </c>
      <c r="O85" s="35">
        <v>229698412.16999999</v>
      </c>
      <c r="P85" s="31">
        <v>0.97545774316510991</v>
      </c>
      <c r="Q85" s="35">
        <f>IFERROR((VLOOKUP(A85,AtskaiteStatusuTabula!B:AI,18,0)),0)</f>
        <v>229698412.16999999</v>
      </c>
      <c r="R85" s="31">
        <f t="shared" si="71"/>
        <v>0.97545774316510991</v>
      </c>
      <c r="S85" s="31">
        <f t="shared" si="72"/>
        <v>0</v>
      </c>
      <c r="T85" s="31">
        <f t="shared" si="16"/>
        <v>0</v>
      </c>
      <c r="U85" s="35">
        <f>IFERROR((VLOOKUP(A85,AtskaiteStatusuTabula!B:AI,23,0)),0)</f>
        <v>37</v>
      </c>
      <c r="V85" s="35">
        <v>229698412.16999999</v>
      </c>
      <c r="W85" s="31">
        <v>0.97545774316510991</v>
      </c>
      <c r="X85" s="35">
        <f>IFERROR((VLOOKUP(A85,AtskaiteStatusuTabula!B:AI,24,0)),0)</f>
        <v>229698412.16999999</v>
      </c>
      <c r="Y85" s="31">
        <f t="shared" si="73"/>
        <v>0.97545774316510991</v>
      </c>
      <c r="Z85" s="31">
        <f t="shared" si="121"/>
        <v>0</v>
      </c>
      <c r="AA85" s="31">
        <f t="shared" si="18"/>
        <v>0</v>
      </c>
      <c r="AB85" s="35">
        <f>IFERROR((VLOOKUP(A85,AtskaiteStatusuTabula!B:AI,30,0)),0)</f>
        <v>37</v>
      </c>
      <c r="AC85" s="35">
        <v>229698412.16999999</v>
      </c>
      <c r="AD85" s="31">
        <v>0.97545774316510991</v>
      </c>
      <c r="AE85" s="35">
        <f>IFERROR((VLOOKUP(A85,AtskaiteStatusuTabula!B:AI,31,0)),0)</f>
        <v>229360295.77000001</v>
      </c>
      <c r="AF85" s="31">
        <f t="shared" si="22"/>
        <v>0.97402186793482315</v>
      </c>
      <c r="AG85" s="31">
        <f t="shared" si="74"/>
        <v>0</v>
      </c>
      <c r="AH85" s="31">
        <f t="shared" si="123"/>
        <v>0</v>
      </c>
      <c r="AI85" s="35">
        <v>229360295.77000001</v>
      </c>
      <c r="AJ85" s="31">
        <v>0.97402186793482315</v>
      </c>
      <c r="AL85" s="57">
        <f t="shared" si="122"/>
        <v>0</v>
      </c>
    </row>
    <row r="86" spans="1:38" x14ac:dyDescent="0.3">
      <c r="A86" s="21" t="s">
        <v>86</v>
      </c>
      <c r="B86" s="10" t="str">
        <f>VLOOKUP(A86,saīsinājumi_LV_ENG!A:G,5,FALSE)</f>
        <v>Nodarbinātība</v>
      </c>
      <c r="C86" s="10"/>
      <c r="D86" s="42"/>
      <c r="E86" s="42"/>
      <c r="F86" s="37">
        <f>SUM(F87:F96)</f>
        <v>163481471</v>
      </c>
      <c r="G86" s="37">
        <f>SUM(G87:G96)</f>
        <v>0</v>
      </c>
      <c r="H86" s="37">
        <f>SUM(H87:H96)</f>
        <v>163481471</v>
      </c>
      <c r="I86" s="37">
        <f>SUM(I87:I96)</f>
        <v>6973974</v>
      </c>
      <c r="J86" s="37">
        <f>SUM(J87:J96)</f>
        <v>162109868.37</v>
      </c>
      <c r="K86" s="33">
        <f t="shared" ref="K86:K151" si="149">J86/F86</f>
        <v>0.99161004227812466</v>
      </c>
      <c r="L86" s="33">
        <f t="shared" si="70"/>
        <v>0</v>
      </c>
      <c r="M86" s="33">
        <f t="shared" si="19"/>
        <v>0</v>
      </c>
      <c r="N86" s="37">
        <f>SUM(N87:N96)</f>
        <v>7</v>
      </c>
      <c r="O86" s="37">
        <v>162109868.37</v>
      </c>
      <c r="P86" s="33">
        <v>0.99161004227812466</v>
      </c>
      <c r="Q86" s="37">
        <f>SUM(Q87:Q96)</f>
        <v>162109868.37</v>
      </c>
      <c r="R86" s="33">
        <f t="shared" si="71"/>
        <v>0.99161004227812466</v>
      </c>
      <c r="S86" s="33">
        <f t="shared" si="72"/>
        <v>0</v>
      </c>
      <c r="T86" s="33">
        <f t="shared" si="16"/>
        <v>0</v>
      </c>
      <c r="U86" s="37">
        <f>SUM(U87:U96)</f>
        <v>7</v>
      </c>
      <c r="V86" s="37">
        <v>162109868.37</v>
      </c>
      <c r="W86" s="33">
        <v>0.99161004227812466</v>
      </c>
      <c r="X86" s="37">
        <f>SUM(X87:X96)</f>
        <v>162109868.37</v>
      </c>
      <c r="Y86" s="33">
        <f t="shared" si="73"/>
        <v>0.99161004227812466</v>
      </c>
      <c r="Z86" s="33">
        <f t="shared" si="121"/>
        <v>0</v>
      </c>
      <c r="AA86" s="33">
        <f t="shared" si="18"/>
        <v>0</v>
      </c>
      <c r="AB86" s="37">
        <f>SUM(AB87:AB96)</f>
        <v>7</v>
      </c>
      <c r="AC86" s="37">
        <v>162109868.37</v>
      </c>
      <c r="AD86" s="33">
        <v>0.99161004227812466</v>
      </c>
      <c r="AE86" s="37">
        <f>SUM(AE87:AE96)</f>
        <v>162109868.37</v>
      </c>
      <c r="AF86" s="33">
        <f t="shared" si="22"/>
        <v>0.99161004227812466</v>
      </c>
      <c r="AG86" s="33">
        <f t="shared" si="74"/>
        <v>0</v>
      </c>
      <c r="AH86" s="33">
        <f t="shared" si="123"/>
        <v>0</v>
      </c>
      <c r="AI86" s="37">
        <v>162109868.37</v>
      </c>
      <c r="AJ86" s="33">
        <v>0.99161004227812466</v>
      </c>
      <c r="AL86" s="57">
        <f t="shared" si="122"/>
        <v>0</v>
      </c>
    </row>
    <row r="87" spans="1:38" ht="37.5" x14ac:dyDescent="0.3">
      <c r="A87" s="20" t="s">
        <v>296</v>
      </c>
      <c r="B87" s="12" t="str">
        <f>VLOOKUP(A87,saīsinājumi_LV_ENG!A:G,5,FALSE)</f>
        <v>Atbalsts bezdarbnieku izglītībai</v>
      </c>
      <c r="C87" s="463" t="s">
        <v>1569</v>
      </c>
      <c r="D87" s="40" t="s">
        <v>346</v>
      </c>
      <c r="E87" s="40" t="s">
        <v>351</v>
      </c>
      <c r="F87" s="98">
        <v>87338436</v>
      </c>
      <c r="G87" s="35">
        <v>0</v>
      </c>
      <c r="H87" s="35">
        <f t="shared" ref="H87:H96" si="150">F87+G87</f>
        <v>87338436</v>
      </c>
      <c r="I87" s="98">
        <v>5699925</v>
      </c>
      <c r="J87" s="439">
        <f>IFERROR((VLOOKUP(A87,AtskaiteStatusuTabula!B:AI,10,0)),0)-J169</f>
        <v>87333801.5</v>
      </c>
      <c r="K87" s="31">
        <f t="shared" si="149"/>
        <v>0.99994693630648479</v>
      </c>
      <c r="L87" s="31">
        <f t="shared" ref="L87:L116" si="151">K87-P87</f>
        <v>0</v>
      </c>
      <c r="M87" s="31">
        <f t="shared" si="19"/>
        <v>0</v>
      </c>
      <c r="N87" s="35">
        <f>IFERROR((VLOOKUP(A87,AtskaiteStatusuTabula!B:AI,17,0)),0)</f>
        <v>1</v>
      </c>
      <c r="O87" s="35">
        <v>87333801.5</v>
      </c>
      <c r="P87" s="31">
        <v>0.99994693630648479</v>
      </c>
      <c r="Q87" s="439">
        <f>IFERROR((VLOOKUP(A87,AtskaiteStatusuTabula!B:AI,18,0)),0)-Q169</f>
        <v>87333801.5</v>
      </c>
      <c r="R87" s="31">
        <f t="shared" ref="R87:R116" si="152">Q87/F87</f>
        <v>0.99994693630648479</v>
      </c>
      <c r="S87" s="31">
        <f t="shared" ref="S87:S116" si="153">R87-W87</f>
        <v>0</v>
      </c>
      <c r="T87" s="31">
        <f t="shared" ref="T87:T152" si="154">IFERROR(((Q87-V87)/V87),0)</f>
        <v>0</v>
      </c>
      <c r="U87" s="35">
        <f>IFERROR((VLOOKUP(A87,AtskaiteStatusuTabula!B:AI,23,0)),0)</f>
        <v>1</v>
      </c>
      <c r="V87" s="35">
        <v>87333801.5</v>
      </c>
      <c r="W87" s="31">
        <v>0.99994693630648479</v>
      </c>
      <c r="X87" s="439">
        <f>IFERROR((VLOOKUP(A87,AtskaiteStatusuTabula!B:AI,24,0)),0)-X169</f>
        <v>87333801.5</v>
      </c>
      <c r="Y87" s="31">
        <f t="shared" ref="Y87:Y116" si="155">X87/F87</f>
        <v>0.99994693630648479</v>
      </c>
      <c r="Z87" s="31">
        <f t="shared" si="121"/>
        <v>0</v>
      </c>
      <c r="AA87" s="31">
        <f t="shared" ref="AA87:AA152" si="156">IFERROR(((X87-AC87)/AC87),0)</f>
        <v>0</v>
      </c>
      <c r="AB87" s="35">
        <f>IFERROR((VLOOKUP(A87,AtskaiteStatusuTabula!B:AI,30,0)),0)</f>
        <v>1</v>
      </c>
      <c r="AC87" s="35">
        <v>87333801.5</v>
      </c>
      <c r="AD87" s="31">
        <v>0.99994693630648479</v>
      </c>
      <c r="AE87" s="439">
        <f>IFERROR((VLOOKUP(A87,AtskaiteStatusuTabula!B:AI,31,0)),0)-AE169</f>
        <v>87333801.5</v>
      </c>
      <c r="AF87" s="31">
        <f t="shared" ref="AF87:AF152" si="157">IFERROR((AE87/$F87),0)</f>
        <v>0.99994693630648479</v>
      </c>
      <c r="AG87" s="31">
        <f t="shared" si="74"/>
        <v>0</v>
      </c>
      <c r="AH87" s="31">
        <f t="shared" si="123"/>
        <v>0</v>
      </c>
      <c r="AI87" s="35">
        <v>87333801.5</v>
      </c>
      <c r="AJ87" s="31">
        <v>0.99994693630648479</v>
      </c>
      <c r="AL87" s="57">
        <f t="shared" si="122"/>
        <v>0</v>
      </c>
    </row>
    <row r="88" spans="1:38" ht="37.5" x14ac:dyDescent="0.3">
      <c r="A88" s="20" t="s">
        <v>297</v>
      </c>
      <c r="B88" s="12" t="str">
        <f>VLOOKUP(A88,saīsinājumi_LV_ENG!A:G,5,FALSE)</f>
        <v>EURES tīkla darbība Latvijā</v>
      </c>
      <c r="C88" s="463" t="s">
        <v>1569</v>
      </c>
      <c r="D88" s="40" t="s">
        <v>346</v>
      </c>
      <c r="E88" s="40" t="s">
        <v>351</v>
      </c>
      <c r="F88" s="98">
        <v>711612</v>
      </c>
      <c r="G88" s="98">
        <v>0</v>
      </c>
      <c r="H88" s="98">
        <f t="shared" si="150"/>
        <v>711612</v>
      </c>
      <c r="I88" s="98">
        <v>0</v>
      </c>
      <c r="J88" s="35">
        <f>IFERROR((VLOOKUP(A88,AtskaiteStatusuTabula!B:AI,10,0)),0)</f>
        <v>703641.07</v>
      </c>
      <c r="K88" s="31">
        <f t="shared" si="149"/>
        <v>0.98879876955419521</v>
      </c>
      <c r="L88" s="31">
        <f t="shared" si="151"/>
        <v>0</v>
      </c>
      <c r="M88" s="31">
        <f t="shared" ref="M88:M152" si="158">IFERROR(((J88-O88)/O88),0)</f>
        <v>0</v>
      </c>
      <c r="N88" s="35">
        <f>IFERROR((VLOOKUP(A88,AtskaiteStatusuTabula!B:AI,17,0)),0)</f>
        <v>1</v>
      </c>
      <c r="O88" s="35">
        <v>703641.07</v>
      </c>
      <c r="P88" s="31">
        <v>0.98879876955419521</v>
      </c>
      <c r="Q88" s="35">
        <f>IFERROR((VLOOKUP(A88,AtskaiteStatusuTabula!B:AI,18,0)),0)</f>
        <v>703641.07</v>
      </c>
      <c r="R88" s="31">
        <f t="shared" si="152"/>
        <v>0.98879876955419521</v>
      </c>
      <c r="S88" s="31">
        <f t="shared" si="153"/>
        <v>0</v>
      </c>
      <c r="T88" s="31">
        <f t="shared" si="154"/>
        <v>0</v>
      </c>
      <c r="U88" s="35">
        <f>IFERROR((VLOOKUP(A88,AtskaiteStatusuTabula!B:AI,23,0)),0)</f>
        <v>1</v>
      </c>
      <c r="V88" s="35">
        <v>703641.07</v>
      </c>
      <c r="W88" s="31">
        <v>0.98879876955419521</v>
      </c>
      <c r="X88" s="35">
        <f>IFERROR((VLOOKUP(A88,AtskaiteStatusuTabula!B:AI,24,0)),0)</f>
        <v>703641.07</v>
      </c>
      <c r="Y88" s="31">
        <f t="shared" si="155"/>
        <v>0.98879876955419521</v>
      </c>
      <c r="Z88" s="31">
        <f t="shared" si="121"/>
        <v>0</v>
      </c>
      <c r="AA88" s="31">
        <f t="shared" si="156"/>
        <v>0</v>
      </c>
      <c r="AB88" s="35">
        <f>IFERROR((VLOOKUP(A88,AtskaiteStatusuTabula!B:AI,30,0)),0)</f>
        <v>1</v>
      </c>
      <c r="AC88" s="35">
        <v>703641.07</v>
      </c>
      <c r="AD88" s="31">
        <v>0.98879876955419521</v>
      </c>
      <c r="AE88" s="35">
        <f>IFERROR((VLOOKUP(A88,AtskaiteStatusuTabula!B:AI,31,0)),0)</f>
        <v>703641.07</v>
      </c>
      <c r="AF88" s="31">
        <f t="shared" si="157"/>
        <v>0.98879876955419521</v>
      </c>
      <c r="AG88" s="31">
        <f t="shared" ref="AG88:AG117" si="159">AF88-AJ88</f>
        <v>0</v>
      </c>
      <c r="AH88" s="31">
        <f t="shared" si="123"/>
        <v>0</v>
      </c>
      <c r="AI88" s="35">
        <v>703641.07</v>
      </c>
      <c r="AJ88" s="31">
        <v>0.98879876955419521</v>
      </c>
      <c r="AL88" s="57">
        <f t="shared" si="122"/>
        <v>0</v>
      </c>
    </row>
    <row r="89" spans="1:38" ht="56.25" x14ac:dyDescent="0.3">
      <c r="A89" s="20" t="s">
        <v>298</v>
      </c>
      <c r="B89" s="12" t="str">
        <f>VLOOKUP(A89,saīsinājumi_LV_ENG!A:G,5,FALSE)</f>
        <v xml:space="preserve">Darba tirgus prognozēšanas sistēmas pilnveide </v>
      </c>
      <c r="C89" s="11"/>
      <c r="D89" s="40" t="s">
        <v>346</v>
      </c>
      <c r="E89" s="40" t="s">
        <v>351</v>
      </c>
      <c r="F89" s="98">
        <v>1190655</v>
      </c>
      <c r="G89" s="98">
        <v>0</v>
      </c>
      <c r="H89" s="98">
        <f t="shared" si="150"/>
        <v>1190655</v>
      </c>
      <c r="I89" s="98">
        <v>0</v>
      </c>
      <c r="J89" s="35">
        <f>IFERROR((VLOOKUP(A89,AtskaiteStatusuTabula!B:AI,10,0)),0)</f>
        <v>1183849.1499999999</v>
      </c>
      <c r="K89" s="31">
        <f t="shared" si="149"/>
        <v>0.99428394455152824</v>
      </c>
      <c r="L89" s="31">
        <f t="shared" si="151"/>
        <v>0</v>
      </c>
      <c r="M89" s="31">
        <f t="shared" si="158"/>
        <v>0</v>
      </c>
      <c r="N89" s="35">
        <f>IFERROR((VLOOKUP(A89,AtskaiteStatusuTabula!B:AI,17,0)),0)</f>
        <v>1</v>
      </c>
      <c r="O89" s="35">
        <v>1183849.1499999999</v>
      </c>
      <c r="P89" s="31">
        <v>0.99428394455152824</v>
      </c>
      <c r="Q89" s="35">
        <f>IFERROR((VLOOKUP(A89,AtskaiteStatusuTabula!B:AI,18,0)),0)</f>
        <v>1183849.1499999999</v>
      </c>
      <c r="R89" s="31">
        <f t="shared" si="152"/>
        <v>0.99428394455152824</v>
      </c>
      <c r="S89" s="31">
        <f t="shared" si="153"/>
        <v>0</v>
      </c>
      <c r="T89" s="31">
        <f t="shared" si="154"/>
        <v>0</v>
      </c>
      <c r="U89" s="35">
        <f>IFERROR((VLOOKUP(A89,AtskaiteStatusuTabula!B:AI,23,0)),0)</f>
        <v>1</v>
      </c>
      <c r="V89" s="35">
        <v>1183849.1499999999</v>
      </c>
      <c r="W89" s="31">
        <v>0.99428394455152824</v>
      </c>
      <c r="X89" s="35">
        <f>IFERROR((VLOOKUP(A89,AtskaiteStatusuTabula!B:AI,24,0)),0)</f>
        <v>1183849.1499999999</v>
      </c>
      <c r="Y89" s="31">
        <f t="shared" si="155"/>
        <v>0.99428394455152824</v>
      </c>
      <c r="Z89" s="31">
        <f t="shared" si="121"/>
        <v>0</v>
      </c>
      <c r="AA89" s="31">
        <f t="shared" si="156"/>
        <v>0</v>
      </c>
      <c r="AB89" s="35">
        <f>IFERROR((VLOOKUP(A89,AtskaiteStatusuTabula!B:AI,30,0)),0)</f>
        <v>1</v>
      </c>
      <c r="AC89" s="35">
        <v>1183849.1499999999</v>
      </c>
      <c r="AD89" s="31">
        <v>0.99428394455152824</v>
      </c>
      <c r="AE89" s="35">
        <f>IFERROR((VLOOKUP(A89,AtskaiteStatusuTabula!B:AI,31,0)),0)</f>
        <v>1183849.1499999999</v>
      </c>
      <c r="AF89" s="31">
        <f t="shared" si="157"/>
        <v>0.99428394455152824</v>
      </c>
      <c r="AG89" s="31">
        <f t="shared" si="159"/>
        <v>0</v>
      </c>
      <c r="AH89" s="31">
        <f t="shared" si="123"/>
        <v>0</v>
      </c>
      <c r="AI89" s="35">
        <v>1183849.1499999999</v>
      </c>
      <c r="AJ89" s="31">
        <v>0.99428394455152824</v>
      </c>
      <c r="AL89" s="57">
        <f t="shared" si="122"/>
        <v>0</v>
      </c>
    </row>
    <row r="90" spans="1:38" ht="56.25" x14ac:dyDescent="0.3">
      <c r="A90" s="20" t="s">
        <v>299</v>
      </c>
      <c r="B90" s="12" t="str">
        <f>VLOOKUP(A90,saīsinājumi_LV_ENG!A:G,5,FALSE)</f>
        <v>Jauniešu garantijas (aktīvās nodarbinātības pasākumi)</v>
      </c>
      <c r="C90" s="11">
        <v>1</v>
      </c>
      <c r="D90" s="40" t="s">
        <v>346</v>
      </c>
      <c r="E90" s="40" t="s">
        <v>351</v>
      </c>
      <c r="F90" s="35">
        <v>16606100</v>
      </c>
      <c r="G90" s="35">
        <v>0</v>
      </c>
      <c r="H90" s="35">
        <f t="shared" si="150"/>
        <v>16606100</v>
      </c>
      <c r="I90" s="35">
        <v>0</v>
      </c>
      <c r="J90" s="35">
        <f>IFERROR((VLOOKUP(A90,AtskaiteStatusuTabula!B:AI,10,0)),0)</f>
        <v>15996371.41</v>
      </c>
      <c r="K90" s="31">
        <f t="shared" si="149"/>
        <v>0.96328285449322837</v>
      </c>
      <c r="L90" s="31">
        <f t="shared" si="151"/>
        <v>0</v>
      </c>
      <c r="M90" s="31">
        <f t="shared" si="158"/>
        <v>0</v>
      </c>
      <c r="N90" s="148">
        <v>0</v>
      </c>
      <c r="O90" s="35">
        <v>15996371.41</v>
      </c>
      <c r="P90" s="31">
        <v>0.96328285449322837</v>
      </c>
      <c r="Q90" s="35">
        <f>IFERROR((VLOOKUP(A90,AtskaiteStatusuTabula!B:AI,18,0)),0)</f>
        <v>15996371.41</v>
      </c>
      <c r="R90" s="31">
        <f t="shared" si="152"/>
        <v>0.96328285449322837</v>
      </c>
      <c r="S90" s="31">
        <f t="shared" si="153"/>
        <v>0</v>
      </c>
      <c r="T90" s="31">
        <f t="shared" si="154"/>
        <v>0</v>
      </c>
      <c r="U90" s="148">
        <v>0</v>
      </c>
      <c r="V90" s="35">
        <v>15996371.41</v>
      </c>
      <c r="W90" s="31">
        <v>0.96328285449322837</v>
      </c>
      <c r="X90" s="35">
        <f>IFERROR((VLOOKUP(A90,AtskaiteStatusuTabula!B:AI,24,0)),0)</f>
        <v>15996371.41</v>
      </c>
      <c r="Y90" s="31">
        <f t="shared" si="155"/>
        <v>0.96328285449322837</v>
      </c>
      <c r="Z90" s="31">
        <f t="shared" si="121"/>
        <v>0</v>
      </c>
      <c r="AA90" s="31">
        <f t="shared" si="156"/>
        <v>0</v>
      </c>
      <c r="AB90" s="148">
        <v>0</v>
      </c>
      <c r="AC90" s="35">
        <v>15996371.41</v>
      </c>
      <c r="AD90" s="31">
        <v>0.96328285449322837</v>
      </c>
      <c r="AE90" s="35">
        <f>IFERROR((VLOOKUP(A90,AtskaiteStatusuTabula!B:AI,31,0)),0)</f>
        <v>15996371.41</v>
      </c>
      <c r="AF90" s="31">
        <f t="shared" si="157"/>
        <v>0.96328285449322837</v>
      </c>
      <c r="AG90" s="31">
        <f t="shared" si="159"/>
        <v>0</v>
      </c>
      <c r="AH90" s="31">
        <f t="shared" si="123"/>
        <v>0</v>
      </c>
      <c r="AI90" s="35">
        <v>15996371.41</v>
      </c>
      <c r="AJ90" s="31">
        <v>0.96328285449322837</v>
      </c>
      <c r="AL90" s="57">
        <f t="shared" si="122"/>
        <v>0</v>
      </c>
    </row>
    <row r="91" spans="1:38" ht="56.25" x14ac:dyDescent="0.3">
      <c r="A91" s="22" t="s">
        <v>299</v>
      </c>
      <c r="B91" s="12" t="str">
        <f>VLOOKUP(A91,saīsinājumi_LV_ENG!A:G,5,FALSE)</f>
        <v>Jauniešu garantijas (aktīvās nodarbinātības pasākumi)</v>
      </c>
      <c r="C91" s="11"/>
      <c r="D91" s="43" t="s">
        <v>358</v>
      </c>
      <c r="E91" s="43" t="s">
        <v>351</v>
      </c>
      <c r="F91" s="38">
        <v>15186315</v>
      </c>
      <c r="G91" s="35">
        <v>0</v>
      </c>
      <c r="H91" s="35">
        <f>F91+G91</f>
        <v>15186315</v>
      </c>
      <c r="I91" s="35">
        <v>0</v>
      </c>
      <c r="J91" s="148">
        <f>AtskaiteStatusuTabula!K141</f>
        <v>15796042.16</v>
      </c>
      <c r="K91" s="31">
        <f>J91/F91</f>
        <v>1.0401497769537904</v>
      </c>
      <c r="L91" s="31">
        <f t="shared" si="151"/>
        <v>0</v>
      </c>
      <c r="M91" s="31">
        <f>IFERROR(((J91-O91)/O91),0)</f>
        <v>0</v>
      </c>
      <c r="N91" s="148">
        <v>1</v>
      </c>
      <c r="O91" s="35">
        <v>15796042.16</v>
      </c>
      <c r="P91" s="31">
        <v>1.0401497769537904</v>
      </c>
      <c r="Q91" s="148">
        <f>AtskaiteStatusuTabula!S141</f>
        <v>15796042.16</v>
      </c>
      <c r="R91" s="31">
        <f t="shared" si="152"/>
        <v>1.0401497769537904</v>
      </c>
      <c r="S91" s="31">
        <f t="shared" si="153"/>
        <v>0</v>
      </c>
      <c r="T91" s="31">
        <f t="shared" si="154"/>
        <v>0</v>
      </c>
      <c r="U91" s="148">
        <v>1</v>
      </c>
      <c r="V91" s="35">
        <v>15796042.16</v>
      </c>
      <c r="W91" s="31">
        <v>1.0401497769537904</v>
      </c>
      <c r="X91" s="148">
        <f>AtskaiteStatusuTabula!Y141</f>
        <v>15796042.16</v>
      </c>
      <c r="Y91" s="31">
        <f t="shared" si="155"/>
        <v>1.0401497769537904</v>
      </c>
      <c r="Z91" s="31">
        <f t="shared" si="121"/>
        <v>0</v>
      </c>
      <c r="AA91" s="31">
        <f t="shared" si="156"/>
        <v>0</v>
      </c>
      <c r="AB91" s="148">
        <v>1</v>
      </c>
      <c r="AC91" s="35">
        <v>15796042.16</v>
      </c>
      <c r="AD91" s="31">
        <v>1.0401497769537904</v>
      </c>
      <c r="AE91" s="148">
        <f>AtskaiteStatusuTabula!AF141</f>
        <v>15796042.16</v>
      </c>
      <c r="AF91" s="31">
        <f t="shared" si="157"/>
        <v>1.0401497769537904</v>
      </c>
      <c r="AG91" s="31">
        <f t="shared" si="159"/>
        <v>0</v>
      </c>
      <c r="AH91" s="31">
        <f t="shared" si="123"/>
        <v>0</v>
      </c>
      <c r="AI91" s="35">
        <v>15796042.16</v>
      </c>
      <c r="AJ91" s="31">
        <v>1.0401497769537904</v>
      </c>
      <c r="AL91" s="57">
        <f t="shared" si="122"/>
        <v>-609727.16000000015</v>
      </c>
    </row>
    <row r="92" spans="1:38" ht="56.25" x14ac:dyDescent="0.3">
      <c r="A92" s="20" t="s">
        <v>300</v>
      </c>
      <c r="B92" s="12" t="str">
        <f>VLOOKUP(A92,saīsinājumi_LV_ENG!A:G,5,FALSE)</f>
        <v>Jauniešu garantijas (profesionālās izglītības pasākumi)</v>
      </c>
      <c r="C92" s="11">
        <v>1</v>
      </c>
      <c r="D92" s="40" t="s">
        <v>346</v>
      </c>
      <c r="E92" s="40" t="s">
        <v>351</v>
      </c>
      <c r="F92" s="35">
        <v>21201278</v>
      </c>
      <c r="G92" s="35">
        <v>0</v>
      </c>
      <c r="H92" s="35">
        <f t="shared" si="150"/>
        <v>21201278</v>
      </c>
      <c r="I92" s="35">
        <v>0</v>
      </c>
      <c r="J92" s="35">
        <f>IFERROR((VLOOKUP(A92,AtskaiteStatusuTabula!B:AI,10,0)),0)</f>
        <v>20971645.190000001</v>
      </c>
      <c r="K92" s="31">
        <f>J92/F92</f>
        <v>0.98916891660964967</v>
      </c>
      <c r="L92" s="31">
        <f t="shared" si="151"/>
        <v>0</v>
      </c>
      <c r="M92" s="31">
        <f t="shared" si="158"/>
        <v>0</v>
      </c>
      <c r="N92" s="148">
        <v>0</v>
      </c>
      <c r="O92" s="35">
        <v>20971645.190000001</v>
      </c>
      <c r="P92" s="31">
        <v>0.98916891660964967</v>
      </c>
      <c r="Q92" s="35">
        <f>IFERROR((VLOOKUP(A92,AtskaiteStatusuTabula!B:AI,18,0)),0)</f>
        <v>20971645.190000001</v>
      </c>
      <c r="R92" s="31">
        <f t="shared" si="152"/>
        <v>0.98916891660964967</v>
      </c>
      <c r="S92" s="31">
        <f t="shared" si="153"/>
        <v>0</v>
      </c>
      <c r="T92" s="31">
        <f t="shared" si="154"/>
        <v>0</v>
      </c>
      <c r="U92" s="148">
        <v>0</v>
      </c>
      <c r="V92" s="35">
        <v>20971645.190000001</v>
      </c>
      <c r="W92" s="31">
        <v>0.98916891660964967</v>
      </c>
      <c r="X92" s="35">
        <f>IFERROR((VLOOKUP(A92,AtskaiteStatusuTabula!B:AI,24,0)),0)</f>
        <v>20971645.190000001</v>
      </c>
      <c r="Y92" s="31">
        <f t="shared" si="155"/>
        <v>0.98916891660964967</v>
      </c>
      <c r="Z92" s="31">
        <f t="shared" si="121"/>
        <v>0</v>
      </c>
      <c r="AA92" s="31">
        <f t="shared" si="156"/>
        <v>0</v>
      </c>
      <c r="AB92" s="148">
        <v>0</v>
      </c>
      <c r="AC92" s="35">
        <v>20971645.190000001</v>
      </c>
      <c r="AD92" s="31">
        <v>0.98916891660964967</v>
      </c>
      <c r="AE92" s="35">
        <f>IFERROR((VLOOKUP(A92,AtskaiteStatusuTabula!B:AI,31,0)),0)</f>
        <v>20971645.190000001</v>
      </c>
      <c r="AF92" s="31">
        <f t="shared" si="157"/>
        <v>0.98916891660964967</v>
      </c>
      <c r="AG92" s="31">
        <f t="shared" si="159"/>
        <v>0</v>
      </c>
      <c r="AH92" s="31">
        <f t="shared" si="123"/>
        <v>0</v>
      </c>
      <c r="AI92" s="35">
        <v>20971645.190000001</v>
      </c>
      <c r="AJ92" s="31">
        <v>0.98916891660964967</v>
      </c>
      <c r="AL92" s="57">
        <f t="shared" si="122"/>
        <v>0</v>
      </c>
    </row>
    <row r="93" spans="1:38" ht="56.25" x14ac:dyDescent="0.3">
      <c r="A93" s="22" t="s">
        <v>300</v>
      </c>
      <c r="B93" s="12" t="str">
        <f>VLOOKUP(A93,saīsinājumi_LV_ENG!A:G,5,FALSE)</f>
        <v>Jauniešu garantijas (profesionālās izglītības pasākumi)</v>
      </c>
      <c r="C93" s="11"/>
      <c r="D93" s="43" t="s">
        <v>358</v>
      </c>
      <c r="E93" s="43" t="s">
        <v>351</v>
      </c>
      <c r="F93" s="38">
        <v>13824324</v>
      </c>
      <c r="G93" s="35">
        <v>0</v>
      </c>
      <c r="H93" s="35">
        <f t="shared" si="150"/>
        <v>13824324</v>
      </c>
      <c r="I93" s="35">
        <v>0</v>
      </c>
      <c r="J93" s="148">
        <f>AtskaiteStatusuTabula!K143</f>
        <v>13014361.460000001</v>
      </c>
      <c r="K93" s="31">
        <f>J93/F93</f>
        <v>0.94141033297541354</v>
      </c>
      <c r="L93" s="31">
        <f t="shared" si="151"/>
        <v>0</v>
      </c>
      <c r="M93" s="31">
        <f t="shared" si="158"/>
        <v>0</v>
      </c>
      <c r="N93" s="148">
        <v>1</v>
      </c>
      <c r="O93" s="35">
        <v>13014361.460000001</v>
      </c>
      <c r="P93" s="31">
        <v>0.94141033297541354</v>
      </c>
      <c r="Q93" s="148">
        <f>AtskaiteStatusuTabula!S143</f>
        <v>13014361.460000001</v>
      </c>
      <c r="R93" s="31">
        <f t="shared" si="152"/>
        <v>0.94141033297541354</v>
      </c>
      <c r="S93" s="31">
        <f t="shared" si="153"/>
        <v>0</v>
      </c>
      <c r="T93" s="31">
        <f t="shared" si="154"/>
        <v>0</v>
      </c>
      <c r="U93" s="148">
        <v>1</v>
      </c>
      <c r="V93" s="35">
        <v>13014361.460000001</v>
      </c>
      <c r="W93" s="31">
        <v>0.94141033297541354</v>
      </c>
      <c r="X93" s="148">
        <f>AtskaiteStatusuTabula!Y143</f>
        <v>13014361.460000001</v>
      </c>
      <c r="Y93" s="31">
        <f t="shared" si="155"/>
        <v>0.94141033297541354</v>
      </c>
      <c r="Z93" s="31">
        <f t="shared" si="121"/>
        <v>0</v>
      </c>
      <c r="AA93" s="31">
        <f t="shared" si="156"/>
        <v>0</v>
      </c>
      <c r="AB93" s="148">
        <v>1</v>
      </c>
      <c r="AC93" s="35">
        <v>13014361.460000001</v>
      </c>
      <c r="AD93" s="31">
        <v>0.94141033297541354</v>
      </c>
      <c r="AE93" s="148">
        <f>AtskaiteStatusuTabula!AF143</f>
        <v>13014361.460000001</v>
      </c>
      <c r="AF93" s="31">
        <f t="shared" si="157"/>
        <v>0.94141033297541354</v>
      </c>
      <c r="AG93" s="31">
        <f t="shared" si="159"/>
        <v>0</v>
      </c>
      <c r="AH93" s="31">
        <f t="shared" si="123"/>
        <v>0</v>
      </c>
      <c r="AI93" s="35">
        <v>13014361.460000001</v>
      </c>
      <c r="AJ93" s="31">
        <v>0.94141033297541354</v>
      </c>
      <c r="AL93" s="57">
        <f t="shared" si="122"/>
        <v>0</v>
      </c>
    </row>
    <row r="94" spans="1:38" ht="56.25" x14ac:dyDescent="0.3">
      <c r="A94" s="20" t="s">
        <v>301</v>
      </c>
      <c r="B94" s="12" t="s">
        <v>202</v>
      </c>
      <c r="C94" s="11"/>
      <c r="D94" s="40" t="s">
        <v>346</v>
      </c>
      <c r="E94" s="40" t="s">
        <v>351</v>
      </c>
      <c r="F94" s="98">
        <v>0</v>
      </c>
      <c r="G94" s="98">
        <v>0</v>
      </c>
      <c r="H94" s="98">
        <f t="shared" si="150"/>
        <v>0</v>
      </c>
      <c r="I94" s="98">
        <v>1274049</v>
      </c>
      <c r="J94" s="35">
        <f>IFERROR((VLOOKUP(A94,AtskaiteStatusuTabula!B:AI,10,0)),0)</f>
        <v>0</v>
      </c>
      <c r="K94" s="31">
        <f>IFERROR(J94/F94,0)</f>
        <v>0</v>
      </c>
      <c r="L94" s="31">
        <f>IFERROR(K94-P94,0)</f>
        <v>0</v>
      </c>
      <c r="M94" s="31">
        <f t="shared" si="158"/>
        <v>0</v>
      </c>
      <c r="N94" s="35">
        <f>IFERROR((VLOOKUP(A94,AtskaiteStatusuTabula!B:AI,17,0)),0)</f>
        <v>0</v>
      </c>
      <c r="O94" s="35">
        <v>0</v>
      </c>
      <c r="P94" s="31">
        <v>0</v>
      </c>
      <c r="Q94" s="35">
        <f>IFERROR((VLOOKUP(A94,AtskaiteStatusuTabula!B:AI,18,0)),0)</f>
        <v>0</v>
      </c>
      <c r="R94" s="31">
        <f>IFERROR(Q94/F94,0)</f>
        <v>0</v>
      </c>
      <c r="S94" s="31">
        <f>IFERROR(R94-W94,0)</f>
        <v>0</v>
      </c>
      <c r="T94" s="31">
        <f t="shared" si="154"/>
        <v>0</v>
      </c>
      <c r="U94" s="35">
        <f>IFERROR((VLOOKUP(A94,AtskaiteStatusuTabula!B:AI,23,0)),0)</f>
        <v>0</v>
      </c>
      <c r="V94" s="35">
        <v>0</v>
      </c>
      <c r="W94" s="31">
        <v>0</v>
      </c>
      <c r="X94" s="35">
        <f>IFERROR((VLOOKUP(A94,AtskaiteStatusuTabula!B:AI,24,0)),0)</f>
        <v>0</v>
      </c>
      <c r="Y94" s="31">
        <f>IFERROR(X94/F94,0)</f>
        <v>0</v>
      </c>
      <c r="Z94" s="31">
        <f>IFERROR(Y94-AD94,0)</f>
        <v>0</v>
      </c>
      <c r="AA94" s="31">
        <f t="shared" si="156"/>
        <v>0</v>
      </c>
      <c r="AB94" s="35">
        <f>IFERROR((VLOOKUP(A94,AtskaiteStatusuTabula!B:AI,30,0)),0)</f>
        <v>0</v>
      </c>
      <c r="AC94" s="35">
        <v>0</v>
      </c>
      <c r="AD94" s="31">
        <v>0</v>
      </c>
      <c r="AE94" s="35">
        <f>IFERROR((VLOOKUP(A94,AtskaiteStatusuTabula!B:AI,31,0)),0)</f>
        <v>0</v>
      </c>
      <c r="AF94" s="31">
        <f t="shared" si="157"/>
        <v>0</v>
      </c>
      <c r="AG94" s="31">
        <f t="shared" si="159"/>
        <v>0</v>
      </c>
      <c r="AH94" s="31">
        <f t="shared" si="123"/>
        <v>0</v>
      </c>
      <c r="AI94" s="35">
        <v>0</v>
      </c>
      <c r="AJ94" s="31">
        <v>0</v>
      </c>
      <c r="AL94" s="57">
        <f t="shared" si="122"/>
        <v>0</v>
      </c>
    </row>
    <row r="95" spans="1:38" ht="37.5" x14ac:dyDescent="0.3">
      <c r="A95" s="20" t="s">
        <v>302</v>
      </c>
      <c r="B95" s="12" t="str">
        <f>VLOOKUP(A95,saīsinājumi_LV_ENG!A:G,5,FALSE)</f>
        <v>Darba drošības uzlabošana</v>
      </c>
      <c r="C95" s="11"/>
      <c r="D95" s="40" t="s">
        <v>346</v>
      </c>
      <c r="E95" s="40" t="s">
        <v>351</v>
      </c>
      <c r="F95" s="35">
        <v>5856035</v>
      </c>
      <c r="G95" s="35">
        <v>0</v>
      </c>
      <c r="H95" s="35">
        <f t="shared" si="150"/>
        <v>5856035</v>
      </c>
      <c r="I95" s="35">
        <v>0</v>
      </c>
      <c r="J95" s="35">
        <f>IFERROR((VLOOKUP(A95,AtskaiteStatusuTabula!B:AI,10,0)),0)</f>
        <v>5543441.2199999997</v>
      </c>
      <c r="K95" s="31">
        <f t="shared" si="149"/>
        <v>0.94662023365639036</v>
      </c>
      <c r="L95" s="31">
        <f t="shared" si="151"/>
        <v>0</v>
      </c>
      <c r="M95" s="31">
        <f t="shared" si="158"/>
        <v>0</v>
      </c>
      <c r="N95" s="35">
        <f>IFERROR((VLOOKUP(A95,AtskaiteStatusuTabula!B:AI,17,0)),0)</f>
        <v>1</v>
      </c>
      <c r="O95" s="35">
        <v>5543441.2199999997</v>
      </c>
      <c r="P95" s="31">
        <v>0.94662023365639036</v>
      </c>
      <c r="Q95" s="35">
        <f>IFERROR((VLOOKUP(A95,AtskaiteStatusuTabula!B:AI,18,0)),0)</f>
        <v>5543441.2199999997</v>
      </c>
      <c r="R95" s="31">
        <f t="shared" si="152"/>
        <v>0.94662023365639036</v>
      </c>
      <c r="S95" s="31">
        <f t="shared" si="153"/>
        <v>0</v>
      </c>
      <c r="T95" s="31">
        <f t="shared" si="154"/>
        <v>0</v>
      </c>
      <c r="U95" s="35">
        <f>IFERROR((VLOOKUP(A95,AtskaiteStatusuTabula!B:AI,23,0)),0)</f>
        <v>1</v>
      </c>
      <c r="V95" s="35">
        <v>5543441.2199999997</v>
      </c>
      <c r="W95" s="31">
        <v>0.94662023365639036</v>
      </c>
      <c r="X95" s="35">
        <f>IFERROR((VLOOKUP(A95,AtskaiteStatusuTabula!B:AI,24,0)),0)</f>
        <v>5543441.2199999997</v>
      </c>
      <c r="Y95" s="31">
        <f t="shared" si="155"/>
        <v>0.94662023365639036</v>
      </c>
      <c r="Z95" s="31">
        <f t="shared" si="121"/>
        <v>0</v>
      </c>
      <c r="AA95" s="31">
        <f t="shared" si="156"/>
        <v>0</v>
      </c>
      <c r="AB95" s="35">
        <f>IFERROR((VLOOKUP(A95,AtskaiteStatusuTabula!B:AI,30,0)),0)</f>
        <v>1</v>
      </c>
      <c r="AC95" s="35">
        <v>5543441.2199999997</v>
      </c>
      <c r="AD95" s="31">
        <v>0.94662023365639036</v>
      </c>
      <c r="AE95" s="35">
        <f>IFERROR((VLOOKUP(A95,AtskaiteStatusuTabula!B:AI,31,0)),0)</f>
        <v>5543441.2199999997</v>
      </c>
      <c r="AF95" s="31">
        <f t="shared" si="157"/>
        <v>0.94662023365639036</v>
      </c>
      <c r="AG95" s="31">
        <f t="shared" si="159"/>
        <v>0</v>
      </c>
      <c r="AH95" s="31">
        <f t="shared" si="123"/>
        <v>0</v>
      </c>
      <c r="AI95" s="35">
        <v>5543441.2199999997</v>
      </c>
      <c r="AJ95" s="31">
        <v>0.94662023365639036</v>
      </c>
      <c r="AL95" s="57">
        <f t="shared" si="122"/>
        <v>0</v>
      </c>
    </row>
    <row r="96" spans="1:38" ht="56.25" x14ac:dyDescent="0.3">
      <c r="A96" s="20" t="s">
        <v>303</v>
      </c>
      <c r="B96" s="12" t="str">
        <f>VLOOKUP(A96,saīsinājumi_LV_ENG!A:G,5,FALSE)</f>
        <v>Gados vecāku nodarbināto darbspēju uzlabošana</v>
      </c>
      <c r="C96" s="402" t="s">
        <v>1362</v>
      </c>
      <c r="D96" s="40" t="s">
        <v>346</v>
      </c>
      <c r="E96" s="40" t="s">
        <v>351</v>
      </c>
      <c r="F96" s="35">
        <v>1566716</v>
      </c>
      <c r="G96" s="35">
        <v>0</v>
      </c>
      <c r="H96" s="300">
        <f t="shared" si="150"/>
        <v>1566716</v>
      </c>
      <c r="I96" s="35">
        <v>0</v>
      </c>
      <c r="J96" s="35">
        <f>IFERROR((VLOOKUP(A96,AtskaiteStatusuTabula!B:AI,10,0)),0)</f>
        <v>1566715.21</v>
      </c>
      <c r="K96" s="31">
        <f t="shared" si="149"/>
        <v>0.99999949576055902</v>
      </c>
      <c r="L96" s="31">
        <f t="shared" si="151"/>
        <v>0</v>
      </c>
      <c r="M96" s="31">
        <f t="shared" si="158"/>
        <v>0</v>
      </c>
      <c r="N96" s="35">
        <f>IFERROR((VLOOKUP(A96,AtskaiteStatusuTabula!B:AI,17,0)),0)</f>
        <v>1</v>
      </c>
      <c r="O96" s="35">
        <v>1566715.21</v>
      </c>
      <c r="P96" s="31">
        <v>0.99999949576055902</v>
      </c>
      <c r="Q96" s="35">
        <f>IFERROR((VLOOKUP(A96,AtskaiteStatusuTabula!B:AI,18,0)),0)</f>
        <v>1566715.21</v>
      </c>
      <c r="R96" s="31">
        <f t="shared" si="152"/>
        <v>0.99999949576055902</v>
      </c>
      <c r="S96" s="31">
        <f t="shared" si="153"/>
        <v>0</v>
      </c>
      <c r="T96" s="31">
        <f t="shared" si="154"/>
        <v>0</v>
      </c>
      <c r="U96" s="35">
        <f>IFERROR((VLOOKUP(A96,AtskaiteStatusuTabula!B:AI,23,0)),0)</f>
        <v>1</v>
      </c>
      <c r="V96" s="35">
        <v>1566715.21</v>
      </c>
      <c r="W96" s="31">
        <v>0.99999949576055902</v>
      </c>
      <c r="X96" s="35">
        <f>IFERROR((VLOOKUP(A96,AtskaiteStatusuTabula!B:AI,24,0)),0)</f>
        <v>1566715.21</v>
      </c>
      <c r="Y96" s="31">
        <f t="shared" si="155"/>
        <v>0.99999949576055902</v>
      </c>
      <c r="Z96" s="31">
        <f t="shared" si="121"/>
        <v>0</v>
      </c>
      <c r="AA96" s="31">
        <f t="shared" si="156"/>
        <v>0</v>
      </c>
      <c r="AB96" s="35">
        <f>IFERROR((VLOOKUP(A96,AtskaiteStatusuTabula!B:AI,30,0)),0)</f>
        <v>1</v>
      </c>
      <c r="AC96" s="35">
        <v>1566715.21</v>
      </c>
      <c r="AD96" s="31">
        <v>0.99999949576055902</v>
      </c>
      <c r="AE96" s="35">
        <f>IFERROR((VLOOKUP(A96,AtskaiteStatusuTabula!B:AI,31,0)),0)</f>
        <v>1566715.21</v>
      </c>
      <c r="AF96" s="31">
        <f t="shared" si="157"/>
        <v>0.99999949576055902</v>
      </c>
      <c r="AG96" s="31">
        <f t="shared" si="159"/>
        <v>0</v>
      </c>
      <c r="AH96" s="31">
        <f t="shared" si="123"/>
        <v>0</v>
      </c>
      <c r="AI96" s="35">
        <v>1566715.21</v>
      </c>
      <c r="AJ96" s="31">
        <v>0.99999949576055902</v>
      </c>
      <c r="AL96" s="57">
        <f t="shared" si="122"/>
        <v>0</v>
      </c>
    </row>
    <row r="97" spans="1:38" x14ac:dyDescent="0.3">
      <c r="A97" s="21" t="s">
        <v>97</v>
      </c>
      <c r="B97" s="10" t="str">
        <f>VLOOKUP(A97,saīsinājumi_LV_ENG!A:G,5,FALSE)</f>
        <v>Izglītība</v>
      </c>
      <c r="C97" s="10"/>
      <c r="D97" s="42"/>
      <c r="E97" s="42"/>
      <c r="F97" s="37">
        <f>SUM(F98:F118)</f>
        <v>523940298</v>
      </c>
      <c r="G97" s="37">
        <f>SUM(G98:G118)</f>
        <v>5607771</v>
      </c>
      <c r="H97" s="37">
        <f>SUM(H98:H118)</f>
        <v>529548069</v>
      </c>
      <c r="I97" s="37">
        <f>SUM(I98:I118)</f>
        <v>23439111.242077023</v>
      </c>
      <c r="J97" s="37">
        <f>SUM(J98:J118)</f>
        <v>519683965.82000005</v>
      </c>
      <c r="K97" s="33">
        <f t="shared" si="149"/>
        <v>0.99187630308978458</v>
      </c>
      <c r="L97" s="33">
        <f t="shared" si="151"/>
        <v>0</v>
      </c>
      <c r="M97" s="33">
        <f t="shared" si="158"/>
        <v>0</v>
      </c>
      <c r="N97" s="37">
        <f>SUM(N98:N118)</f>
        <v>188</v>
      </c>
      <c r="O97" s="37">
        <v>519683965.82000005</v>
      </c>
      <c r="P97" s="33">
        <v>0.99187630308978458</v>
      </c>
      <c r="Q97" s="37">
        <f>SUM(Q98:Q118)</f>
        <v>519683965.82000005</v>
      </c>
      <c r="R97" s="33">
        <f t="shared" si="152"/>
        <v>0.99187630308978458</v>
      </c>
      <c r="S97" s="33">
        <f t="shared" si="153"/>
        <v>0</v>
      </c>
      <c r="T97" s="33">
        <f t="shared" si="154"/>
        <v>0</v>
      </c>
      <c r="U97" s="37">
        <f>SUM(U98:U118)</f>
        <v>188</v>
      </c>
      <c r="V97" s="37">
        <v>519683965.82000005</v>
      </c>
      <c r="W97" s="33">
        <v>0.99187630308978458</v>
      </c>
      <c r="X97" s="37">
        <f>SUM(X98:X118)</f>
        <v>519683965.82000005</v>
      </c>
      <c r="Y97" s="33">
        <f t="shared" si="155"/>
        <v>0.99187630308978458</v>
      </c>
      <c r="Z97" s="33">
        <f t="shared" si="121"/>
        <v>0</v>
      </c>
      <c r="AA97" s="33">
        <f t="shared" si="156"/>
        <v>0</v>
      </c>
      <c r="AB97" s="37">
        <f>SUM(AB98:AB118)</f>
        <v>188</v>
      </c>
      <c r="AC97" s="37">
        <v>519683965.82000005</v>
      </c>
      <c r="AD97" s="33">
        <v>0.99187630308978458</v>
      </c>
      <c r="AE97" s="37">
        <f>SUM(AE98:AE118)</f>
        <v>516245733.80000013</v>
      </c>
      <c r="AF97" s="33">
        <f t="shared" si="157"/>
        <v>0.98531404392948629</v>
      </c>
      <c r="AG97" s="33">
        <f t="shared" si="159"/>
        <v>-1.0439542483897668E-4</v>
      </c>
      <c r="AH97" s="33">
        <f t="shared" si="123"/>
        <v>-1.059401982647875E-4</v>
      </c>
      <c r="AI97" s="37">
        <v>516300430.7700001</v>
      </c>
      <c r="AJ97" s="33">
        <v>0.98541843935432527</v>
      </c>
      <c r="AL97" s="57">
        <f t="shared" si="122"/>
        <v>0</v>
      </c>
    </row>
    <row r="98" spans="1:38" ht="37.5" x14ac:dyDescent="0.3">
      <c r="A98" s="20" t="s">
        <v>305</v>
      </c>
      <c r="B98" s="12" t="str">
        <f>VLOOKUP(A98,saīsinājumi_LV_ENG!A:G,5,FALSE)</f>
        <v>Augstskolu STEM infrastruktūra</v>
      </c>
      <c r="C98" s="11"/>
      <c r="D98" s="40" t="s">
        <v>344</v>
      </c>
      <c r="E98" s="40" t="s">
        <v>348</v>
      </c>
      <c r="F98" s="35">
        <v>38009447</v>
      </c>
      <c r="G98" s="35">
        <v>0</v>
      </c>
      <c r="H98" s="35">
        <f>F98+G98</f>
        <v>38009447</v>
      </c>
      <c r="I98" s="35">
        <v>2314490</v>
      </c>
      <c r="J98" s="35">
        <f>IFERROR((VLOOKUP(A98,AtskaiteStatusuTabula!B:AI,10,0)),0)</f>
        <v>37742128.32</v>
      </c>
      <c r="K98" s="31">
        <f t="shared" si="149"/>
        <v>0.99296704632403621</v>
      </c>
      <c r="L98" s="31">
        <f t="shared" si="151"/>
        <v>0</v>
      </c>
      <c r="M98" s="31">
        <f t="shared" si="158"/>
        <v>0</v>
      </c>
      <c r="N98" s="35">
        <f>IFERROR((VLOOKUP(A98,AtskaiteStatusuTabula!B:AI,17,0)),0)</f>
        <v>15</v>
      </c>
      <c r="O98" s="35">
        <v>37742128.32</v>
      </c>
      <c r="P98" s="31">
        <v>0.99296704632403621</v>
      </c>
      <c r="Q98" s="35">
        <f>IFERROR((VLOOKUP(A98,AtskaiteStatusuTabula!B:AI,18,0)),0)</f>
        <v>37742128.32</v>
      </c>
      <c r="R98" s="31">
        <f t="shared" si="152"/>
        <v>0.99296704632403621</v>
      </c>
      <c r="S98" s="31">
        <f t="shared" si="153"/>
        <v>0</v>
      </c>
      <c r="T98" s="31">
        <f t="shared" si="154"/>
        <v>0</v>
      </c>
      <c r="U98" s="35">
        <f>IFERROR((VLOOKUP(A98,AtskaiteStatusuTabula!B:AI,23,0)),0)</f>
        <v>15</v>
      </c>
      <c r="V98" s="35">
        <v>37742128.32</v>
      </c>
      <c r="W98" s="31">
        <v>0.99296704632403621</v>
      </c>
      <c r="X98" s="35">
        <f>IFERROR((VLOOKUP(A98,AtskaiteStatusuTabula!B:AI,24,0)),0)</f>
        <v>37742128.32</v>
      </c>
      <c r="Y98" s="31">
        <f t="shared" si="155"/>
        <v>0.99296704632403621</v>
      </c>
      <c r="Z98" s="31">
        <f t="shared" si="121"/>
        <v>0</v>
      </c>
      <c r="AA98" s="31">
        <f t="shared" si="156"/>
        <v>0</v>
      </c>
      <c r="AB98" s="35">
        <f>IFERROR((VLOOKUP(A98,AtskaiteStatusuTabula!B:AI,30,0)),0)</f>
        <v>15</v>
      </c>
      <c r="AC98" s="35">
        <v>37742128.32</v>
      </c>
      <c r="AD98" s="31">
        <v>0.99296704632403621</v>
      </c>
      <c r="AE98" s="35">
        <f>IFERROR((VLOOKUP(A98,AtskaiteStatusuTabula!B:AI,31,0)),0)</f>
        <v>37045829.759999998</v>
      </c>
      <c r="AF98" s="31">
        <f t="shared" si="157"/>
        <v>0.97464795423095729</v>
      </c>
      <c r="AG98" s="31">
        <f t="shared" si="159"/>
        <v>0</v>
      </c>
      <c r="AH98" s="31">
        <f t="shared" si="123"/>
        <v>0</v>
      </c>
      <c r="AI98" s="35">
        <v>37045829.759999998</v>
      </c>
      <c r="AJ98" s="31">
        <v>0.97464795423095729</v>
      </c>
      <c r="AL98" s="57">
        <f t="shared" si="122"/>
        <v>0</v>
      </c>
    </row>
    <row r="99" spans="1:38" ht="37.5" x14ac:dyDescent="0.3">
      <c r="A99" s="20" t="s">
        <v>445</v>
      </c>
      <c r="B99" s="12" t="str">
        <f>VLOOKUP(A99,saīsinājumi_LV_ENG!A:G,5,FALSE)</f>
        <v>Vispārējās izglītības infrastruktūra</v>
      </c>
      <c r="C99" s="11"/>
      <c r="D99" s="40" t="s">
        <v>344</v>
      </c>
      <c r="E99" s="40" t="s">
        <v>348</v>
      </c>
      <c r="F99" s="98">
        <v>133204393</v>
      </c>
      <c r="G99" s="35">
        <v>4095434</v>
      </c>
      <c r="H99" s="35">
        <f t="shared" ref="H99:H118" si="160">F99+G99</f>
        <v>137299827</v>
      </c>
      <c r="I99" s="35">
        <v>8470218</v>
      </c>
      <c r="J99" s="462">
        <f>IFERROR((VLOOKUP(A99,AtskaiteStatusuTabula!B:AI,10,0)),0)-AtskaiteStatusuTabula!L151</f>
        <v>133805027.91999999</v>
      </c>
      <c r="K99" s="31">
        <f t="shared" si="149"/>
        <v>1.0045091224581459</v>
      </c>
      <c r="L99" s="31">
        <f t="shared" si="151"/>
        <v>0</v>
      </c>
      <c r="M99" s="31">
        <f t="shared" si="158"/>
        <v>0</v>
      </c>
      <c r="N99" s="35">
        <f>IFERROR((VLOOKUP(A99,AtskaiteStatusuTabula!B:AI,17,0)),0)</f>
        <v>46</v>
      </c>
      <c r="O99" s="35">
        <v>133805027.91999999</v>
      </c>
      <c r="P99" s="31">
        <v>1.0045091224581459</v>
      </c>
      <c r="Q99" s="462">
        <f>IFERROR((VLOOKUP(A99,AtskaiteStatusuTabula!B:AI,18,0)),0)-AtskaiteStatusuTabula!T151</f>
        <v>133805027.91999999</v>
      </c>
      <c r="R99" s="31">
        <f t="shared" si="152"/>
        <v>1.0045091224581459</v>
      </c>
      <c r="S99" s="31">
        <f t="shared" si="153"/>
        <v>0</v>
      </c>
      <c r="T99" s="31">
        <f t="shared" si="154"/>
        <v>0</v>
      </c>
      <c r="U99" s="35">
        <f>IFERROR((VLOOKUP(A99,AtskaiteStatusuTabula!B:AI,23,0)),0)</f>
        <v>46</v>
      </c>
      <c r="V99" s="35">
        <v>133805027.91999999</v>
      </c>
      <c r="W99" s="31">
        <v>1.0045091224581459</v>
      </c>
      <c r="X99" s="462">
        <f>IFERROR((VLOOKUP(A99,AtskaiteStatusuTabula!B:AI,24,0)),0)-AtskaiteStatusuTabula!Z151</f>
        <v>133805027.91999999</v>
      </c>
      <c r="Y99" s="31">
        <f t="shared" si="155"/>
        <v>1.0045091224581459</v>
      </c>
      <c r="Z99" s="31">
        <f t="shared" si="121"/>
        <v>0</v>
      </c>
      <c r="AA99" s="31">
        <f t="shared" si="156"/>
        <v>0</v>
      </c>
      <c r="AB99" s="35">
        <f>IFERROR((VLOOKUP(A99,AtskaiteStatusuTabula!B:AI,30,0)),0)</f>
        <v>46</v>
      </c>
      <c r="AC99" s="35">
        <v>133805027.91999999</v>
      </c>
      <c r="AD99" s="31">
        <v>1.0045091224581459</v>
      </c>
      <c r="AE99" s="462">
        <f>IFERROR((VLOOKUP(A99,AtskaiteStatusuTabula!B:AI,31,0)),0)-AtskaiteStatusuTabula!AG151</f>
        <v>133063679.94999999</v>
      </c>
      <c r="AF99" s="31">
        <f t="shared" si="157"/>
        <v>0.99894363056029234</v>
      </c>
      <c r="AG99" s="31">
        <f t="shared" si="159"/>
        <v>-4.1062437032379773E-4</v>
      </c>
      <c r="AH99" s="31">
        <f t="shared" si="123"/>
        <v>-4.1088970032191716E-4</v>
      </c>
      <c r="AI99" s="35">
        <v>133118376.91999999</v>
      </c>
      <c r="AJ99" s="31">
        <v>0.99935425493061614</v>
      </c>
      <c r="AL99" s="57">
        <f t="shared" si="122"/>
        <v>0</v>
      </c>
    </row>
    <row r="100" spans="1:38" ht="37.5" x14ac:dyDescent="0.3">
      <c r="A100" s="20" t="s">
        <v>306</v>
      </c>
      <c r="B100" s="12" t="str">
        <f>VLOOKUP(A100,saīsinājumi_LV_ENG!A:G,5,FALSE)</f>
        <v>Profesionālās izglītības infrastruktūra</v>
      </c>
      <c r="C100" s="11"/>
      <c r="D100" s="40" t="s">
        <v>344</v>
      </c>
      <c r="E100" s="40" t="s">
        <v>348</v>
      </c>
      <c r="F100" s="98">
        <f>90376983-G100</f>
        <v>88864646</v>
      </c>
      <c r="G100" s="35">
        <v>1512337</v>
      </c>
      <c r="H100" s="35">
        <f t="shared" si="160"/>
        <v>90376983</v>
      </c>
      <c r="I100" s="35">
        <v>5404059.7000000002</v>
      </c>
      <c r="J100" s="35">
        <f>IFERROR((VLOOKUP(A100,AtskaiteStatusuTabula!B:AI,10,0)),0)</f>
        <v>89515294.299999997</v>
      </c>
      <c r="K100" s="31">
        <f t="shared" si="149"/>
        <v>1.0073217902651634</v>
      </c>
      <c r="L100" s="31">
        <f t="shared" si="151"/>
        <v>0</v>
      </c>
      <c r="M100" s="31">
        <f t="shared" si="158"/>
        <v>0</v>
      </c>
      <c r="N100" s="35">
        <f>IFERROR((VLOOKUP(A100,AtskaiteStatusuTabula!B:AI,17,0)),0)</f>
        <v>24</v>
      </c>
      <c r="O100" s="35">
        <v>89515294.299999997</v>
      </c>
      <c r="P100" s="31">
        <v>1.0073217902651634</v>
      </c>
      <c r="Q100" s="35">
        <f>IFERROR((VLOOKUP(A100,AtskaiteStatusuTabula!B:AI,18,0)),0)</f>
        <v>89515294.299999997</v>
      </c>
      <c r="R100" s="31">
        <f t="shared" si="152"/>
        <v>1.0073217902651634</v>
      </c>
      <c r="S100" s="31">
        <f t="shared" si="153"/>
        <v>0</v>
      </c>
      <c r="T100" s="31">
        <f t="shared" si="154"/>
        <v>0</v>
      </c>
      <c r="U100" s="35">
        <f>IFERROR((VLOOKUP(A100,AtskaiteStatusuTabula!B:AI,23,0)),0)</f>
        <v>24</v>
      </c>
      <c r="V100" s="35">
        <v>89515294.299999997</v>
      </c>
      <c r="W100" s="31">
        <v>1.0073217902651634</v>
      </c>
      <c r="X100" s="35">
        <f>IFERROR((VLOOKUP(A100,AtskaiteStatusuTabula!B:AI,24,0)),0)</f>
        <v>89515294.299999997</v>
      </c>
      <c r="Y100" s="31">
        <f t="shared" si="155"/>
        <v>1.0073217902651634</v>
      </c>
      <c r="Z100" s="31">
        <f t="shared" si="121"/>
        <v>0</v>
      </c>
      <c r="AA100" s="31">
        <f t="shared" si="156"/>
        <v>0</v>
      </c>
      <c r="AB100" s="35">
        <f>IFERROR((VLOOKUP(A100,AtskaiteStatusuTabula!B:AI,30,0)),0)</f>
        <v>24</v>
      </c>
      <c r="AC100" s="35">
        <v>89515294.299999997</v>
      </c>
      <c r="AD100" s="31">
        <v>1.0073217902651634</v>
      </c>
      <c r="AE100" s="35">
        <f>IFERROR((VLOOKUP(A100,AtskaiteStatusuTabula!B:AI,31,0)),0)</f>
        <v>87993777.900000006</v>
      </c>
      <c r="AF100" s="31">
        <f t="shared" si="157"/>
        <v>0.99020006111316761</v>
      </c>
      <c r="AG100" s="31">
        <f t="shared" si="159"/>
        <v>0</v>
      </c>
      <c r="AH100" s="31">
        <f t="shared" si="123"/>
        <v>0</v>
      </c>
      <c r="AI100" s="35">
        <v>87993777.900000006</v>
      </c>
      <c r="AJ100" s="31">
        <v>0.99020006111316761</v>
      </c>
      <c r="AL100" s="57">
        <f t="shared" si="122"/>
        <v>0</v>
      </c>
    </row>
    <row r="101" spans="1:38" ht="37.5" x14ac:dyDescent="0.3">
      <c r="A101" s="20" t="s">
        <v>307</v>
      </c>
      <c r="B101" s="12" t="str">
        <f>VLOOKUP(A101,saīsinājumi_LV_ENG!A:G,5,FALSE)</f>
        <v>Koledžu STEM infrastruktūrā</v>
      </c>
      <c r="C101" s="11"/>
      <c r="D101" s="40" t="s">
        <v>344</v>
      </c>
      <c r="E101" s="40" t="s">
        <v>348</v>
      </c>
      <c r="F101" s="35">
        <v>11993378</v>
      </c>
      <c r="G101" s="35">
        <v>0</v>
      </c>
      <c r="H101" s="35">
        <f t="shared" si="160"/>
        <v>11993378</v>
      </c>
      <c r="I101" s="35">
        <v>735445</v>
      </c>
      <c r="J101" s="35">
        <f>IFERROR((VLOOKUP(A101,AtskaiteStatusuTabula!B:AI,10,0)),0)</f>
        <v>11988378.939999999</v>
      </c>
      <c r="K101" s="31">
        <f t="shared" si="149"/>
        <v>0.99958318165240845</v>
      </c>
      <c r="L101" s="31">
        <f t="shared" si="151"/>
        <v>0</v>
      </c>
      <c r="M101" s="31">
        <f t="shared" si="158"/>
        <v>0</v>
      </c>
      <c r="N101" s="35">
        <f>IFERROR((VLOOKUP(A101,AtskaiteStatusuTabula!B:AI,17,0)),0)</f>
        <v>9</v>
      </c>
      <c r="O101" s="35">
        <v>11988378.939999999</v>
      </c>
      <c r="P101" s="31">
        <v>0.99958318165240845</v>
      </c>
      <c r="Q101" s="35">
        <f>IFERROR((VLOOKUP(A101,AtskaiteStatusuTabula!B:AI,18,0)),0)</f>
        <v>11988378.939999999</v>
      </c>
      <c r="R101" s="31">
        <f t="shared" si="152"/>
        <v>0.99958318165240845</v>
      </c>
      <c r="S101" s="31">
        <f t="shared" si="153"/>
        <v>0</v>
      </c>
      <c r="T101" s="31">
        <f t="shared" si="154"/>
        <v>0</v>
      </c>
      <c r="U101" s="35">
        <f>IFERROR((VLOOKUP(A101,AtskaiteStatusuTabula!B:AI,23,0)),0)</f>
        <v>9</v>
      </c>
      <c r="V101" s="35">
        <v>11988378.939999999</v>
      </c>
      <c r="W101" s="31">
        <v>0.99958318165240845</v>
      </c>
      <c r="X101" s="35">
        <f>IFERROR((VLOOKUP(A101,AtskaiteStatusuTabula!B:AI,24,0)),0)</f>
        <v>11988378.939999999</v>
      </c>
      <c r="Y101" s="31">
        <f t="shared" si="155"/>
        <v>0.99958318165240845</v>
      </c>
      <c r="Z101" s="31">
        <f t="shared" si="121"/>
        <v>0</v>
      </c>
      <c r="AA101" s="31">
        <f t="shared" si="156"/>
        <v>0</v>
      </c>
      <c r="AB101" s="35">
        <f>IFERROR((VLOOKUP(A101,AtskaiteStatusuTabula!B:AI,30,0)),0)</f>
        <v>9</v>
      </c>
      <c r="AC101" s="35">
        <v>11988378.939999999</v>
      </c>
      <c r="AD101" s="31">
        <v>0.99958318165240845</v>
      </c>
      <c r="AE101" s="35">
        <f>IFERROR((VLOOKUP(A101,AtskaiteStatusuTabula!B:AI,31,0)),0)</f>
        <v>11530276.880000001</v>
      </c>
      <c r="AF101" s="31">
        <f t="shared" si="157"/>
        <v>0.96138693202198755</v>
      </c>
      <c r="AG101" s="31">
        <f t="shared" si="159"/>
        <v>0</v>
      </c>
      <c r="AH101" s="31">
        <f t="shared" si="123"/>
        <v>0</v>
      </c>
      <c r="AI101" s="35">
        <v>11530276.880000001</v>
      </c>
      <c r="AJ101" s="31">
        <v>0.96138693202198755</v>
      </c>
      <c r="AL101" s="57">
        <f t="shared" si="122"/>
        <v>0</v>
      </c>
    </row>
    <row r="102" spans="1:38" ht="56.25" x14ac:dyDescent="0.3">
      <c r="A102" s="20" t="s">
        <v>308</v>
      </c>
      <c r="B102" s="12" t="str">
        <f>VLOOKUP(A102,saīsinājumi_LV_ENG!A:G,5,FALSE)</f>
        <v>Studiju programmu fragmentācijas samazināšana</v>
      </c>
      <c r="C102" s="11"/>
      <c r="D102" s="40" t="s">
        <v>346</v>
      </c>
      <c r="E102" s="40" t="s">
        <v>348</v>
      </c>
      <c r="F102" s="35">
        <v>10757181</v>
      </c>
      <c r="G102" s="35">
        <v>0</v>
      </c>
      <c r="H102" s="35">
        <f t="shared" si="160"/>
        <v>10757181</v>
      </c>
      <c r="I102" s="35">
        <v>571654</v>
      </c>
      <c r="J102" s="35">
        <f>IFERROR((VLOOKUP(A102,AtskaiteStatusuTabula!B:AI,10,0)),0)</f>
        <v>10362191.369999999</v>
      </c>
      <c r="K102" s="31">
        <f t="shared" si="149"/>
        <v>0.96328130669178103</v>
      </c>
      <c r="L102" s="31">
        <f t="shared" si="151"/>
        <v>0</v>
      </c>
      <c r="M102" s="31">
        <f t="shared" si="158"/>
        <v>0</v>
      </c>
      <c r="N102" s="35">
        <f>IFERROR((VLOOKUP(A102,AtskaiteStatusuTabula!B:AI,17,0)),0)</f>
        <v>20</v>
      </c>
      <c r="O102" s="35">
        <v>10362191.369999999</v>
      </c>
      <c r="P102" s="31">
        <v>0.96328130669178103</v>
      </c>
      <c r="Q102" s="35">
        <f>IFERROR((VLOOKUP(A102,AtskaiteStatusuTabula!B:AI,18,0)),0)</f>
        <v>10362191.369999999</v>
      </c>
      <c r="R102" s="31">
        <f t="shared" si="152"/>
        <v>0.96328130669178103</v>
      </c>
      <c r="S102" s="31">
        <f t="shared" si="153"/>
        <v>0</v>
      </c>
      <c r="T102" s="31">
        <f t="shared" si="154"/>
        <v>0</v>
      </c>
      <c r="U102" s="35">
        <f>IFERROR((VLOOKUP(A102,AtskaiteStatusuTabula!B:AI,23,0)),0)</f>
        <v>20</v>
      </c>
      <c r="V102" s="35">
        <v>10362191.369999999</v>
      </c>
      <c r="W102" s="31">
        <v>0.96328130669178103</v>
      </c>
      <c r="X102" s="35">
        <f>IFERROR((VLOOKUP(A102,AtskaiteStatusuTabula!B:AI,24,0)),0)</f>
        <v>10362191.369999999</v>
      </c>
      <c r="Y102" s="31">
        <f t="shared" si="155"/>
        <v>0.96328130669178103</v>
      </c>
      <c r="Z102" s="31">
        <f t="shared" si="121"/>
        <v>0</v>
      </c>
      <c r="AA102" s="31">
        <f t="shared" si="156"/>
        <v>0</v>
      </c>
      <c r="AB102" s="35">
        <f>IFERROR((VLOOKUP(A102,AtskaiteStatusuTabula!B:AI,30,0)),0)</f>
        <v>20</v>
      </c>
      <c r="AC102" s="35">
        <v>10362191.369999999</v>
      </c>
      <c r="AD102" s="31">
        <v>0.96328130669178103</v>
      </c>
      <c r="AE102" s="35">
        <f>IFERROR((VLOOKUP(A102,AtskaiteStatusuTabula!B:AI,31,0)),0)</f>
        <v>10362191.369999999</v>
      </c>
      <c r="AF102" s="31">
        <f t="shared" si="157"/>
        <v>0.96328130669178103</v>
      </c>
      <c r="AG102" s="31">
        <f t="shared" si="159"/>
        <v>0</v>
      </c>
      <c r="AH102" s="31">
        <f t="shared" si="123"/>
        <v>0</v>
      </c>
      <c r="AI102" s="35">
        <v>10362191.369999999</v>
      </c>
      <c r="AJ102" s="31">
        <v>0.96328130669178103</v>
      </c>
      <c r="AL102" s="57">
        <f t="shared" si="122"/>
        <v>0</v>
      </c>
    </row>
    <row r="103" spans="1:38" ht="56.25" x14ac:dyDescent="0.3">
      <c r="A103" s="20" t="s">
        <v>309</v>
      </c>
      <c r="B103" s="12" t="str">
        <f>VLOOKUP(A103,saīsinājumi_LV_ENG!A:G,5,FALSE)</f>
        <v>Akadēmiskā personāla stratēģiskās specializācijas stiprināšana</v>
      </c>
      <c r="C103" s="11"/>
      <c r="D103" s="40" t="s">
        <v>346</v>
      </c>
      <c r="E103" s="40" t="s">
        <v>348</v>
      </c>
      <c r="F103" s="35">
        <v>27199264</v>
      </c>
      <c r="G103" s="35">
        <v>0</v>
      </c>
      <c r="H103" s="35">
        <f t="shared" si="160"/>
        <v>27199264</v>
      </c>
      <c r="I103" s="98">
        <v>1815163</v>
      </c>
      <c r="J103" s="35">
        <f>IFERROR((VLOOKUP(A103,AtskaiteStatusuTabula!B:AI,10,0)),0)</f>
        <v>24667982.48</v>
      </c>
      <c r="K103" s="31">
        <f t="shared" si="149"/>
        <v>0.90693566120024427</v>
      </c>
      <c r="L103" s="31">
        <f t="shared" si="151"/>
        <v>0</v>
      </c>
      <c r="M103" s="31">
        <f t="shared" si="158"/>
        <v>0</v>
      </c>
      <c r="N103" s="35">
        <f>IFERROR((VLOOKUP(A103,AtskaiteStatusuTabula!B:AI,17,0)),0)</f>
        <v>32</v>
      </c>
      <c r="O103" s="35">
        <v>24667982.48</v>
      </c>
      <c r="P103" s="31">
        <v>0.90693566120024427</v>
      </c>
      <c r="Q103" s="35">
        <f>IFERROR((VLOOKUP(A103,AtskaiteStatusuTabula!B:AI,18,0)),0)</f>
        <v>24667982.48</v>
      </c>
      <c r="R103" s="31">
        <f t="shared" si="152"/>
        <v>0.90693566120024427</v>
      </c>
      <c r="S103" s="31">
        <f t="shared" si="153"/>
        <v>0</v>
      </c>
      <c r="T103" s="31">
        <f t="shared" si="154"/>
        <v>0</v>
      </c>
      <c r="U103" s="35">
        <f>IFERROR((VLOOKUP(A103,AtskaiteStatusuTabula!B:AI,23,0)),0)</f>
        <v>32</v>
      </c>
      <c r="V103" s="35">
        <v>24667982.48</v>
      </c>
      <c r="W103" s="31">
        <v>0.90693566120024427</v>
      </c>
      <c r="X103" s="35">
        <f>IFERROR((VLOOKUP(A103,AtskaiteStatusuTabula!B:AI,24,0)),0)</f>
        <v>24667982.48</v>
      </c>
      <c r="Y103" s="31">
        <f t="shared" si="155"/>
        <v>0.90693566120024427</v>
      </c>
      <c r="Z103" s="31">
        <f t="shared" si="121"/>
        <v>0</v>
      </c>
      <c r="AA103" s="31">
        <f t="shared" si="156"/>
        <v>0</v>
      </c>
      <c r="AB103" s="35">
        <f>IFERROR((VLOOKUP(A103,AtskaiteStatusuTabula!B:AI,30,0)),0)</f>
        <v>32</v>
      </c>
      <c r="AC103" s="35">
        <v>24667982.48</v>
      </c>
      <c r="AD103" s="31">
        <v>0.90693566120024427</v>
      </c>
      <c r="AE103" s="35">
        <f>IFERROR((VLOOKUP(A103,AtskaiteStatusuTabula!B:AI,31,0)),0)</f>
        <v>24387906.82</v>
      </c>
      <c r="AF103" s="31">
        <f t="shared" si="157"/>
        <v>0.89663848330601892</v>
      </c>
      <c r="AG103" s="31">
        <f t="shared" si="159"/>
        <v>0</v>
      </c>
      <c r="AH103" s="31">
        <f t="shared" si="123"/>
        <v>0</v>
      </c>
      <c r="AI103" s="35">
        <v>24387906.82</v>
      </c>
      <c r="AJ103" s="31">
        <v>0.89663848330601892</v>
      </c>
      <c r="AL103" s="57">
        <f t="shared" si="122"/>
        <v>0</v>
      </c>
    </row>
    <row r="104" spans="1:38" ht="56.25" x14ac:dyDescent="0.3">
      <c r="A104" s="20" t="s">
        <v>310</v>
      </c>
      <c r="B104" s="12" t="str">
        <f>VLOOKUP(A104,saīsinājumi_LV_ENG!A:G,5,FALSE)</f>
        <v>Efektīvas pārvaldības nodrošināšana augstskolās</v>
      </c>
      <c r="C104" s="466" t="s">
        <v>1599</v>
      </c>
      <c r="D104" s="40" t="s">
        <v>346</v>
      </c>
      <c r="E104" s="40" t="s">
        <v>348</v>
      </c>
      <c r="F104" s="35">
        <v>15820266</v>
      </c>
      <c r="G104" s="35">
        <v>0</v>
      </c>
      <c r="H104" s="35">
        <f>F104+G104</f>
        <v>15820266</v>
      </c>
      <c r="I104" s="35">
        <v>1136067</v>
      </c>
      <c r="J104" s="439">
        <f>IFERROR((VLOOKUP(A104,AtskaiteStatusuTabula!B:AI,10,0)),0)-AtskaiteStatusuTabula!L157</f>
        <v>15686416.969999999</v>
      </c>
      <c r="K104" s="31">
        <f t="shared" si="149"/>
        <v>0.99153939447035844</v>
      </c>
      <c r="L104" s="31">
        <f t="shared" si="151"/>
        <v>0</v>
      </c>
      <c r="M104" s="31">
        <f t="shared" si="158"/>
        <v>0</v>
      </c>
      <c r="N104" s="439">
        <f>IFERROR((VLOOKUP(A104,AtskaiteStatusuTabula!B:AI,17,0)),0)-N167</f>
        <v>18</v>
      </c>
      <c r="O104" s="35">
        <v>15686416.969999999</v>
      </c>
      <c r="P104" s="31">
        <v>0.99153939447035844</v>
      </c>
      <c r="Q104" s="439">
        <f>IFERROR((VLOOKUP(A104,AtskaiteStatusuTabula!B:AI,18,0)),0)-AtskaiteStatusuTabula!T157</f>
        <v>15686416.969999999</v>
      </c>
      <c r="R104" s="31">
        <f t="shared" si="152"/>
        <v>0.99153939447035844</v>
      </c>
      <c r="S104" s="31">
        <f t="shared" si="153"/>
        <v>0</v>
      </c>
      <c r="T104" s="31">
        <f t="shared" si="154"/>
        <v>0</v>
      </c>
      <c r="U104" s="439">
        <f>IFERROR((VLOOKUP(A104,AtskaiteStatusuTabula!B:AI,23,0)),0)-U167</f>
        <v>18</v>
      </c>
      <c r="V104" s="35">
        <v>15686416.969999999</v>
      </c>
      <c r="W104" s="31">
        <v>0.99153939447035844</v>
      </c>
      <c r="X104" s="439">
        <f>IFERROR((VLOOKUP(A104,AtskaiteStatusuTabula!B:AI,24,0)),0)-AtskaiteStatusuTabula!Z157</f>
        <v>15686416.969999999</v>
      </c>
      <c r="Y104" s="31">
        <f t="shared" si="155"/>
        <v>0.99153939447035844</v>
      </c>
      <c r="Z104" s="31">
        <f t="shared" si="121"/>
        <v>0</v>
      </c>
      <c r="AA104" s="31">
        <f t="shared" si="156"/>
        <v>0</v>
      </c>
      <c r="AB104" s="439">
        <f>IFERROR((VLOOKUP(A104,AtskaiteStatusuTabula!B:AI,30,0)),0)-AB167</f>
        <v>18</v>
      </c>
      <c r="AC104" s="35">
        <v>15686416.969999999</v>
      </c>
      <c r="AD104" s="31">
        <v>0.99153939447035844</v>
      </c>
      <c r="AE104" s="439">
        <f>IFERROR((VLOOKUP(A104,AtskaiteStatusuTabula!B:AI,31,0)),0)-AtskaiteStatusuTabula!AG157</f>
        <v>15945525.6</v>
      </c>
      <c r="AF104" s="31">
        <f t="shared" si="157"/>
        <v>1.0079176671239283</v>
      </c>
      <c r="AG104" s="31">
        <f t="shared" si="159"/>
        <v>0</v>
      </c>
      <c r="AH104" s="31">
        <f t="shared" si="123"/>
        <v>0</v>
      </c>
      <c r="AI104" s="35">
        <v>15945525.6</v>
      </c>
      <c r="AJ104" s="31">
        <v>1.0079176671239283</v>
      </c>
      <c r="AL104" s="57">
        <f t="shared" si="122"/>
        <v>0</v>
      </c>
    </row>
    <row r="105" spans="1:38" x14ac:dyDescent="0.3">
      <c r="A105" s="20" t="s">
        <v>311</v>
      </c>
      <c r="B105" s="12" t="str">
        <f>VLOOKUP(A105,saīsinājumi_LV_ENG!A:G,5,FALSE)</f>
        <v>Atbalsts EQAR aģentūrai</v>
      </c>
      <c r="C105" s="11">
        <v>15</v>
      </c>
      <c r="D105" s="40" t="s">
        <v>346</v>
      </c>
      <c r="E105" s="40" t="s">
        <v>348</v>
      </c>
      <c r="F105" s="35">
        <v>1048927</v>
      </c>
      <c r="G105" s="35">
        <v>0</v>
      </c>
      <c r="H105" s="35">
        <f t="shared" si="160"/>
        <v>1048927</v>
      </c>
      <c r="I105" s="35">
        <v>0</v>
      </c>
      <c r="J105" s="35">
        <f>IFERROR((VLOOKUP(A105,AtskaiteStatusuTabula!B:AI,10,0)),0)</f>
        <v>1048926.68</v>
      </c>
      <c r="K105" s="31">
        <f t="shared" si="149"/>
        <v>0.999999694926339</v>
      </c>
      <c r="L105" s="31">
        <f t="shared" si="151"/>
        <v>0</v>
      </c>
      <c r="M105" s="31">
        <f t="shared" si="158"/>
        <v>0</v>
      </c>
      <c r="N105" s="35">
        <f>IFERROR((VLOOKUP(A105,AtskaiteStatusuTabula!B:AI,17,0)),0)</f>
        <v>1</v>
      </c>
      <c r="O105" s="35">
        <v>1048926.68</v>
      </c>
      <c r="P105" s="31">
        <v>0.999999694926339</v>
      </c>
      <c r="Q105" s="35">
        <f>IFERROR((VLOOKUP(A105,AtskaiteStatusuTabula!B:AI,18,0)),0)</f>
        <v>1048926.68</v>
      </c>
      <c r="R105" s="31">
        <f t="shared" si="152"/>
        <v>0.999999694926339</v>
      </c>
      <c r="S105" s="31">
        <f t="shared" si="153"/>
        <v>0</v>
      </c>
      <c r="T105" s="31">
        <f t="shared" si="154"/>
        <v>0</v>
      </c>
      <c r="U105" s="35">
        <f>IFERROR((VLOOKUP(A105,AtskaiteStatusuTabula!B:AI,23,0)),0)</f>
        <v>1</v>
      </c>
      <c r="V105" s="35">
        <v>1048926.68</v>
      </c>
      <c r="W105" s="31">
        <v>0.999999694926339</v>
      </c>
      <c r="X105" s="35">
        <f>IFERROR((VLOOKUP(A105,AtskaiteStatusuTabula!B:AI,24,0)),0)</f>
        <v>1048926.68</v>
      </c>
      <c r="Y105" s="31">
        <f t="shared" si="155"/>
        <v>0.999999694926339</v>
      </c>
      <c r="Z105" s="31">
        <f t="shared" si="121"/>
        <v>0</v>
      </c>
      <c r="AA105" s="31">
        <f t="shared" si="156"/>
        <v>0</v>
      </c>
      <c r="AB105" s="35">
        <f>IFERROR((VLOOKUP(A105,AtskaiteStatusuTabula!B:AI,30,0)),0)</f>
        <v>1</v>
      </c>
      <c r="AC105" s="35">
        <v>1048926.68</v>
      </c>
      <c r="AD105" s="31">
        <v>0.999999694926339</v>
      </c>
      <c r="AE105" s="35">
        <f>IFERROR((VLOOKUP(A105,AtskaiteStatusuTabula!B:AI,31,0)),0)</f>
        <v>1048926.68</v>
      </c>
      <c r="AF105" s="31">
        <f t="shared" si="157"/>
        <v>0.999999694926339</v>
      </c>
      <c r="AG105" s="31">
        <f t="shared" si="159"/>
        <v>0</v>
      </c>
      <c r="AH105" s="31">
        <f t="shared" si="123"/>
        <v>0</v>
      </c>
      <c r="AI105" s="35">
        <v>1048926.68</v>
      </c>
      <c r="AJ105" s="31">
        <v>0.999999694926339</v>
      </c>
      <c r="AL105" s="57">
        <f t="shared" si="122"/>
        <v>0</v>
      </c>
    </row>
    <row r="106" spans="1:38" ht="37.5" x14ac:dyDescent="0.3">
      <c r="A106" s="20" t="s">
        <v>447</v>
      </c>
      <c r="B106" s="12" t="str">
        <f>VLOOKUP(A106,saīsinājumi_LV_ENG!A:G,5,FALSE)</f>
        <v>Kompetenču pieejas satura aprobācija</v>
      </c>
      <c r="C106" s="11" t="s">
        <v>1287</v>
      </c>
      <c r="D106" s="40" t="s">
        <v>346</v>
      </c>
      <c r="E106" s="40" t="s">
        <v>348</v>
      </c>
      <c r="F106" s="98">
        <f>26424600+343400</f>
        <v>26768000</v>
      </c>
      <c r="G106" s="35">
        <v>0</v>
      </c>
      <c r="H106" s="35">
        <f t="shared" si="160"/>
        <v>26768000</v>
      </c>
      <c r="I106" s="35">
        <v>0</v>
      </c>
      <c r="J106" s="35">
        <f>IFERROR((VLOOKUP(A106,AtskaiteStatusuTabula!B:AI,10,0)),0)</f>
        <v>26615060.350000001</v>
      </c>
      <c r="K106" s="31">
        <f t="shared" si="149"/>
        <v>0.99428647452181718</v>
      </c>
      <c r="L106" s="31">
        <f t="shared" si="151"/>
        <v>0</v>
      </c>
      <c r="M106" s="31">
        <f t="shared" si="158"/>
        <v>0</v>
      </c>
      <c r="N106" s="35">
        <f>IFERROR((VLOOKUP(A106,AtskaiteStatusuTabula!B:AI,17,0)),0)</f>
        <v>1</v>
      </c>
      <c r="O106" s="35">
        <v>26615060.350000001</v>
      </c>
      <c r="P106" s="31">
        <v>0.99428647452181718</v>
      </c>
      <c r="Q106" s="35">
        <f>IFERROR((VLOOKUP(A106,AtskaiteStatusuTabula!B:AI,18,0)),0)</f>
        <v>26615060.350000001</v>
      </c>
      <c r="R106" s="31">
        <f t="shared" si="152"/>
        <v>0.99428647452181718</v>
      </c>
      <c r="S106" s="31">
        <f t="shared" si="153"/>
        <v>0</v>
      </c>
      <c r="T106" s="31">
        <f t="shared" si="154"/>
        <v>0</v>
      </c>
      <c r="U106" s="35">
        <f>IFERROR((VLOOKUP(A106,AtskaiteStatusuTabula!B:AI,23,0)),0)</f>
        <v>1</v>
      </c>
      <c r="V106" s="35">
        <v>26615060.350000001</v>
      </c>
      <c r="W106" s="31">
        <v>0.99428647452181718</v>
      </c>
      <c r="X106" s="35">
        <f>IFERROR((VLOOKUP(A106,AtskaiteStatusuTabula!B:AI,24,0)),0)</f>
        <v>26615060.350000001</v>
      </c>
      <c r="Y106" s="31">
        <f t="shared" si="155"/>
        <v>0.99428647452181718</v>
      </c>
      <c r="Z106" s="31">
        <f t="shared" si="121"/>
        <v>0</v>
      </c>
      <c r="AA106" s="31">
        <f t="shared" si="156"/>
        <v>0</v>
      </c>
      <c r="AB106" s="35">
        <f>IFERROR((VLOOKUP(A106,AtskaiteStatusuTabula!B:AI,30,0)),0)</f>
        <v>1</v>
      </c>
      <c r="AC106" s="35">
        <v>26615060.350000001</v>
      </c>
      <c r="AD106" s="31">
        <v>0.99428647452181718</v>
      </c>
      <c r="AE106" s="35">
        <f>IFERROR((VLOOKUP(A106,AtskaiteStatusuTabula!B:AI,31,0)),0)</f>
        <v>26615060.350000001</v>
      </c>
      <c r="AF106" s="31">
        <f t="shared" si="157"/>
        <v>0.99428647452181718</v>
      </c>
      <c r="AG106" s="31">
        <f t="shared" si="159"/>
        <v>0</v>
      </c>
      <c r="AH106" s="31">
        <f t="shared" si="123"/>
        <v>0</v>
      </c>
      <c r="AI106" s="35">
        <v>26615060.350000001</v>
      </c>
      <c r="AJ106" s="31">
        <v>0.99428647452181718</v>
      </c>
      <c r="AL106" s="57">
        <f t="shared" si="122"/>
        <v>0</v>
      </c>
    </row>
    <row r="107" spans="1:38" x14ac:dyDescent="0.3">
      <c r="A107" s="20" t="s">
        <v>312</v>
      </c>
      <c r="B107" s="12" t="str">
        <f>VLOOKUP(A107,saīsinājumi_LV_ENG!A:G,5,FALSE)</f>
        <v>Digitālo līdzekļu izstrāde</v>
      </c>
      <c r="C107" s="11"/>
      <c r="D107" s="40" t="s">
        <v>346</v>
      </c>
      <c r="E107" s="40" t="s">
        <v>348</v>
      </c>
      <c r="F107" s="98">
        <v>1105911</v>
      </c>
      <c r="G107" s="35">
        <v>0</v>
      </c>
      <c r="H107" s="35">
        <f t="shared" si="160"/>
        <v>1105911</v>
      </c>
      <c r="I107" s="35">
        <v>0</v>
      </c>
      <c r="J107" s="35">
        <f>IFERROR((VLOOKUP(A107,AtskaiteStatusuTabula!B:AI,10,0)),0)</f>
        <v>1060395.79</v>
      </c>
      <c r="K107" s="31">
        <f t="shared" si="149"/>
        <v>0.95884369537874203</v>
      </c>
      <c r="L107" s="31">
        <f t="shared" si="151"/>
        <v>0</v>
      </c>
      <c r="M107" s="31">
        <f t="shared" si="158"/>
        <v>0</v>
      </c>
      <c r="N107" s="35">
        <f>IFERROR((VLOOKUP(A107,AtskaiteStatusuTabula!B:AI,17,0)),0)</f>
        <v>11</v>
      </c>
      <c r="O107" s="35">
        <v>1060395.79</v>
      </c>
      <c r="P107" s="31">
        <v>0.95884369537874203</v>
      </c>
      <c r="Q107" s="35">
        <f>IFERROR((VLOOKUP(A107,AtskaiteStatusuTabula!B:AI,18,0)),0)</f>
        <v>1060395.79</v>
      </c>
      <c r="R107" s="31">
        <f t="shared" si="152"/>
        <v>0.95884369537874203</v>
      </c>
      <c r="S107" s="31">
        <f t="shared" si="153"/>
        <v>0</v>
      </c>
      <c r="T107" s="31">
        <f t="shared" si="154"/>
        <v>0</v>
      </c>
      <c r="U107" s="35">
        <f>IFERROR((VLOOKUP(A107,AtskaiteStatusuTabula!B:AI,23,0)),0)</f>
        <v>11</v>
      </c>
      <c r="V107" s="35">
        <v>1060395.79</v>
      </c>
      <c r="W107" s="31">
        <v>0.95884369537874203</v>
      </c>
      <c r="X107" s="35">
        <f>IFERROR((VLOOKUP(A107,AtskaiteStatusuTabula!B:AI,24,0)),0)</f>
        <v>1060395.79</v>
      </c>
      <c r="Y107" s="31">
        <f t="shared" si="155"/>
        <v>0.95884369537874203</v>
      </c>
      <c r="Z107" s="31">
        <f t="shared" si="121"/>
        <v>0</v>
      </c>
      <c r="AA107" s="31">
        <f t="shared" si="156"/>
        <v>0</v>
      </c>
      <c r="AB107" s="35">
        <f>IFERROR((VLOOKUP(A107,AtskaiteStatusuTabula!B:AI,30,0)),0)</f>
        <v>11</v>
      </c>
      <c r="AC107" s="35">
        <v>1060395.79</v>
      </c>
      <c r="AD107" s="31">
        <v>0.95884369537874203</v>
      </c>
      <c r="AE107" s="35">
        <f>IFERROR((VLOOKUP(A107,AtskaiteStatusuTabula!B:AI,31,0)),0)</f>
        <v>1060395.79</v>
      </c>
      <c r="AF107" s="31">
        <f t="shared" si="157"/>
        <v>0.95884369537874203</v>
      </c>
      <c r="AG107" s="31">
        <f t="shared" si="159"/>
        <v>0</v>
      </c>
      <c r="AH107" s="31">
        <f t="shared" si="123"/>
        <v>0</v>
      </c>
      <c r="AI107" s="35">
        <v>1060395.79</v>
      </c>
      <c r="AJ107" s="31">
        <v>0.95884369537874203</v>
      </c>
      <c r="AL107" s="57">
        <f t="shared" si="122"/>
        <v>0</v>
      </c>
    </row>
    <row r="108" spans="1:38" ht="37.5" x14ac:dyDescent="0.3">
      <c r="A108" s="20" t="s">
        <v>313</v>
      </c>
      <c r="B108" s="12" t="str">
        <f>VLOOKUP(A108,saīsinājumi_LV_ENG!A:G,5,FALSE)</f>
        <v>Izglītojamo talantu attīstība</v>
      </c>
      <c r="C108" s="11"/>
      <c r="D108" s="40" t="s">
        <v>346</v>
      </c>
      <c r="E108" s="40" t="s">
        <v>348</v>
      </c>
      <c r="F108" s="98">
        <v>3585597</v>
      </c>
      <c r="G108" s="35">
        <v>0</v>
      </c>
      <c r="H108" s="35">
        <f t="shared" si="160"/>
        <v>3585597</v>
      </c>
      <c r="I108" s="35">
        <v>0</v>
      </c>
      <c r="J108" s="35">
        <f>IFERROR((VLOOKUP(A108,AtskaiteStatusuTabula!B:AI,10,0)),0)</f>
        <v>3555368.62</v>
      </c>
      <c r="K108" s="31">
        <f t="shared" si="149"/>
        <v>0.99156949874734945</v>
      </c>
      <c r="L108" s="31">
        <f t="shared" si="151"/>
        <v>0</v>
      </c>
      <c r="M108" s="31">
        <f t="shared" si="158"/>
        <v>0</v>
      </c>
      <c r="N108" s="35">
        <f>IFERROR((VLOOKUP(A108,AtskaiteStatusuTabula!B:AI,17,0)),0)</f>
        <v>1</v>
      </c>
      <c r="O108" s="35">
        <v>3555368.62</v>
      </c>
      <c r="P108" s="31">
        <v>0.99156949874734945</v>
      </c>
      <c r="Q108" s="35">
        <f>IFERROR((VLOOKUP(A108,AtskaiteStatusuTabula!B:AI,18,0)),0)</f>
        <v>3555368.62</v>
      </c>
      <c r="R108" s="31">
        <f t="shared" si="152"/>
        <v>0.99156949874734945</v>
      </c>
      <c r="S108" s="31">
        <f t="shared" si="153"/>
        <v>0</v>
      </c>
      <c r="T108" s="31">
        <f t="shared" si="154"/>
        <v>0</v>
      </c>
      <c r="U108" s="35">
        <f>IFERROR((VLOOKUP(A108,AtskaiteStatusuTabula!B:AI,23,0)),0)</f>
        <v>1</v>
      </c>
      <c r="V108" s="35">
        <v>3555368.62</v>
      </c>
      <c r="W108" s="31">
        <v>0.99156949874734945</v>
      </c>
      <c r="X108" s="35">
        <f>IFERROR((VLOOKUP(A108,AtskaiteStatusuTabula!B:AI,24,0)),0)</f>
        <v>3555368.62</v>
      </c>
      <c r="Y108" s="31">
        <f t="shared" si="155"/>
        <v>0.99156949874734945</v>
      </c>
      <c r="Z108" s="31">
        <f t="shared" si="121"/>
        <v>0</v>
      </c>
      <c r="AA108" s="31">
        <f t="shared" si="156"/>
        <v>0</v>
      </c>
      <c r="AB108" s="35">
        <f>IFERROR((VLOOKUP(A108,AtskaiteStatusuTabula!B:AI,30,0)),0)</f>
        <v>1</v>
      </c>
      <c r="AC108" s="35">
        <v>3555368.62</v>
      </c>
      <c r="AD108" s="31">
        <v>0.99156949874734945</v>
      </c>
      <c r="AE108" s="35">
        <f>IFERROR((VLOOKUP(A108,AtskaiteStatusuTabula!B:AI,31,0)),0)</f>
        <v>3555368.62</v>
      </c>
      <c r="AF108" s="31">
        <f t="shared" si="157"/>
        <v>0.99156949874734945</v>
      </c>
      <c r="AG108" s="31">
        <f t="shared" si="159"/>
        <v>0</v>
      </c>
      <c r="AH108" s="31">
        <f t="shared" si="123"/>
        <v>0</v>
      </c>
      <c r="AI108" s="35">
        <v>3555368.62</v>
      </c>
      <c r="AJ108" s="31">
        <v>0.99156949874734945</v>
      </c>
      <c r="AL108" s="57">
        <f t="shared" si="122"/>
        <v>0</v>
      </c>
    </row>
    <row r="109" spans="1:38" ht="36.75" customHeight="1" x14ac:dyDescent="0.3">
      <c r="A109" s="20" t="s">
        <v>314</v>
      </c>
      <c r="B109" s="95" t="str">
        <f>VLOOKUP(A109,saīsinājumi_LV_ENG!A:G,5,FALSE)</f>
        <v xml:space="preserve">Individuālo kompetenču attīstība </v>
      </c>
      <c r="C109" s="95" t="s">
        <v>1584</v>
      </c>
      <c r="D109" s="97" t="s">
        <v>346</v>
      </c>
      <c r="E109" s="97" t="s">
        <v>348</v>
      </c>
      <c r="F109" s="98">
        <v>30776103</v>
      </c>
      <c r="G109" s="98">
        <v>0</v>
      </c>
      <c r="H109" s="98">
        <f t="shared" si="160"/>
        <v>30776103</v>
      </c>
      <c r="I109" s="98">
        <v>0</v>
      </c>
      <c r="J109" s="35">
        <f>IFERROR((VLOOKUP(A109,AtskaiteStatusuTabula!B:AI,10,0)),0)</f>
        <v>30430575.809999999</v>
      </c>
      <c r="K109" s="99">
        <f t="shared" si="149"/>
        <v>0.98877287387555202</v>
      </c>
      <c r="L109" s="99">
        <f t="shared" si="151"/>
        <v>0</v>
      </c>
      <c r="M109" s="99">
        <f t="shared" si="158"/>
        <v>0</v>
      </c>
      <c r="N109" s="35">
        <f>IFERROR((VLOOKUP(A109,AtskaiteStatusuTabula!B:AI,17,0)),0)</f>
        <v>1</v>
      </c>
      <c r="O109" s="98">
        <v>30430575.809999999</v>
      </c>
      <c r="P109" s="99">
        <v>0.98877287387555202</v>
      </c>
      <c r="Q109" s="35">
        <f>IFERROR((VLOOKUP(A109,AtskaiteStatusuTabula!B:AI,18,0)),0)</f>
        <v>30430575.809999999</v>
      </c>
      <c r="R109" s="31">
        <f t="shared" si="152"/>
        <v>0.98877287387555202</v>
      </c>
      <c r="S109" s="31">
        <f t="shared" si="153"/>
        <v>0</v>
      </c>
      <c r="T109" s="31">
        <f t="shared" si="154"/>
        <v>0</v>
      </c>
      <c r="U109" s="35">
        <f>IFERROR((VLOOKUP(A109,AtskaiteStatusuTabula!B:AI,23,0)),0)</f>
        <v>1</v>
      </c>
      <c r="V109" s="35">
        <v>30430575.809999999</v>
      </c>
      <c r="W109" s="31">
        <v>0.98877287387555202</v>
      </c>
      <c r="X109" s="35">
        <f>IFERROR((VLOOKUP(A109,AtskaiteStatusuTabula!B:AI,24,0)),0)</f>
        <v>30430575.809999999</v>
      </c>
      <c r="Y109" s="31">
        <f t="shared" si="155"/>
        <v>0.98877287387555202</v>
      </c>
      <c r="Z109" s="31">
        <f t="shared" si="121"/>
        <v>0</v>
      </c>
      <c r="AA109" s="31">
        <f t="shared" si="156"/>
        <v>0</v>
      </c>
      <c r="AB109" s="35">
        <f>IFERROR((VLOOKUP(A109,AtskaiteStatusuTabula!B:AI,30,0)),0)</f>
        <v>1</v>
      </c>
      <c r="AC109" s="35">
        <v>30430575.809999999</v>
      </c>
      <c r="AD109" s="31">
        <v>0.98877287387555202</v>
      </c>
      <c r="AE109" s="35">
        <f>IFERROR((VLOOKUP(A109,AtskaiteStatusuTabula!B:AI,31,0)),0)</f>
        <v>30430575.809999999</v>
      </c>
      <c r="AF109" s="31">
        <f t="shared" si="157"/>
        <v>0.98877287387555202</v>
      </c>
      <c r="AG109" s="31">
        <f t="shared" si="159"/>
        <v>0</v>
      </c>
      <c r="AH109" s="31">
        <f t="shared" si="123"/>
        <v>0</v>
      </c>
      <c r="AI109" s="35">
        <v>30430575.809999999</v>
      </c>
      <c r="AJ109" s="31">
        <v>0.98877287387555202</v>
      </c>
      <c r="AL109" s="57">
        <f t="shared" si="122"/>
        <v>0</v>
      </c>
    </row>
    <row r="110" spans="1:38" ht="37.5" x14ac:dyDescent="0.3">
      <c r="A110" s="20" t="s">
        <v>315</v>
      </c>
      <c r="B110" s="95" t="str">
        <f>VLOOKUP(A110,saīsinājumi_LV_ENG!A:G,5,FALSE)</f>
        <v>NEET jauniešu prasmju attīstīšana</v>
      </c>
      <c r="C110" s="96"/>
      <c r="D110" s="97" t="s">
        <v>346</v>
      </c>
      <c r="E110" s="97" t="s">
        <v>348</v>
      </c>
      <c r="F110" s="98">
        <v>7191280</v>
      </c>
      <c r="G110" s="98">
        <v>0</v>
      </c>
      <c r="H110" s="98">
        <f t="shared" si="160"/>
        <v>7191280</v>
      </c>
      <c r="I110" s="98">
        <v>0</v>
      </c>
      <c r="J110" s="462">
        <f>IFERROR((VLOOKUP(A110,AtskaiteStatusuTabula!B:AI,10,0)),0)-AtskaiteStatusuTabula!L166</f>
        <v>7172086.4199999999</v>
      </c>
      <c r="K110" s="99">
        <f t="shared" si="149"/>
        <v>0.99733099253540403</v>
      </c>
      <c r="L110" s="99">
        <f t="shared" si="151"/>
        <v>0</v>
      </c>
      <c r="M110" s="99">
        <f t="shared" si="158"/>
        <v>0</v>
      </c>
      <c r="N110" s="35">
        <f>IFERROR((VLOOKUP(A110,AtskaiteStatusuTabula!B:AI,17,0)),0)</f>
        <v>1</v>
      </c>
      <c r="O110" s="98">
        <v>7172086.4199999999</v>
      </c>
      <c r="P110" s="99">
        <v>0.99733099253540403</v>
      </c>
      <c r="Q110" s="462">
        <f>IFERROR((VLOOKUP(A110,AtskaiteStatusuTabula!B:AI,18,0)),0)-AtskaiteStatusuTabula!T166</f>
        <v>7172086.4199999999</v>
      </c>
      <c r="R110" s="31">
        <f t="shared" si="152"/>
        <v>0.99733099253540403</v>
      </c>
      <c r="S110" s="31">
        <f t="shared" si="153"/>
        <v>0</v>
      </c>
      <c r="T110" s="31">
        <f t="shared" si="154"/>
        <v>0</v>
      </c>
      <c r="U110" s="35">
        <f>IFERROR((VLOOKUP(A110,AtskaiteStatusuTabula!B:AI,23,0)),0)</f>
        <v>1</v>
      </c>
      <c r="V110" s="35">
        <v>7172086.4199999999</v>
      </c>
      <c r="W110" s="31">
        <v>0.99733099253540403</v>
      </c>
      <c r="X110" s="462">
        <f>IFERROR((VLOOKUP(A110,AtskaiteStatusuTabula!B:AI,24,0)),0)-AtskaiteStatusuTabula!Z166</f>
        <v>7172086.4199999999</v>
      </c>
      <c r="Y110" s="31">
        <f t="shared" si="155"/>
        <v>0.99733099253540403</v>
      </c>
      <c r="Z110" s="31">
        <f t="shared" si="121"/>
        <v>0</v>
      </c>
      <c r="AA110" s="31">
        <f t="shared" si="156"/>
        <v>0</v>
      </c>
      <c r="AB110" s="35">
        <f>IFERROR((VLOOKUP(A110,AtskaiteStatusuTabula!B:AI,30,0)),0)</f>
        <v>1</v>
      </c>
      <c r="AC110" s="35">
        <v>7172086.4199999999</v>
      </c>
      <c r="AD110" s="31">
        <v>0.99733099253540403</v>
      </c>
      <c r="AE110" s="462">
        <f>IFERROR((VLOOKUP(A110,AtskaiteStatusuTabula!B:AI,31,0)),0)-AtskaiteStatusuTabula!AG166</f>
        <v>7172086.4199999999</v>
      </c>
      <c r="AF110" s="31">
        <f t="shared" si="157"/>
        <v>0.99733099253540403</v>
      </c>
      <c r="AG110" s="31">
        <f t="shared" si="159"/>
        <v>0</v>
      </c>
      <c r="AH110" s="31">
        <f t="shared" si="123"/>
        <v>0</v>
      </c>
      <c r="AI110" s="35">
        <v>7172086.4199999999</v>
      </c>
      <c r="AJ110" s="31">
        <v>0.99733099253540403</v>
      </c>
      <c r="AL110" s="57">
        <f t="shared" si="122"/>
        <v>0</v>
      </c>
    </row>
    <row r="111" spans="1:38" ht="56.25" x14ac:dyDescent="0.3">
      <c r="A111" s="20" t="s">
        <v>316</v>
      </c>
      <c r="B111" s="95" t="str">
        <f>VLOOKUP(A111,saīsinājumi_LV_ENG!A:G,5,FALSE)</f>
        <v>Priekšlaicīgas mācību pārtraukšanas samazināšana</v>
      </c>
      <c r="C111" s="96"/>
      <c r="D111" s="97" t="s">
        <v>346</v>
      </c>
      <c r="E111" s="97" t="s">
        <v>348</v>
      </c>
      <c r="F111" s="98">
        <v>30727948</v>
      </c>
      <c r="G111" s="98">
        <v>0</v>
      </c>
      <c r="H111" s="98">
        <f t="shared" si="160"/>
        <v>30727948</v>
      </c>
      <c r="I111" s="98">
        <v>0</v>
      </c>
      <c r="J111" s="35">
        <f>IFERROR((VLOOKUP(A111,AtskaiteStatusuTabula!B:AI,10,0)),0)</f>
        <v>30166486.23</v>
      </c>
      <c r="K111" s="99">
        <f t="shared" si="149"/>
        <v>0.9817279770845746</v>
      </c>
      <c r="L111" s="99">
        <f t="shared" si="151"/>
        <v>0</v>
      </c>
      <c r="M111" s="99">
        <f t="shared" si="158"/>
        <v>0</v>
      </c>
      <c r="N111" s="35">
        <f>IFERROR((VLOOKUP(A111,AtskaiteStatusuTabula!B:AI,17,0)),0)</f>
        <v>1</v>
      </c>
      <c r="O111" s="98">
        <v>30166486.23</v>
      </c>
      <c r="P111" s="99">
        <v>0.9817279770845746</v>
      </c>
      <c r="Q111" s="35">
        <f>IFERROR((VLOOKUP(A111,AtskaiteStatusuTabula!B:AI,18,0)),0)</f>
        <v>30166486.23</v>
      </c>
      <c r="R111" s="31">
        <f t="shared" si="152"/>
        <v>0.9817279770845746</v>
      </c>
      <c r="S111" s="31">
        <f t="shared" si="153"/>
        <v>0</v>
      </c>
      <c r="T111" s="31">
        <f t="shared" si="154"/>
        <v>0</v>
      </c>
      <c r="U111" s="35">
        <f>IFERROR((VLOOKUP(A111,AtskaiteStatusuTabula!B:AI,23,0)),0)</f>
        <v>1</v>
      </c>
      <c r="V111" s="35">
        <v>30166486.23</v>
      </c>
      <c r="W111" s="31">
        <v>0.9817279770845746</v>
      </c>
      <c r="X111" s="35">
        <f>IFERROR((VLOOKUP(A111,AtskaiteStatusuTabula!B:AI,24,0)),0)</f>
        <v>30166486.23</v>
      </c>
      <c r="Y111" s="31">
        <f t="shared" si="155"/>
        <v>0.9817279770845746</v>
      </c>
      <c r="Z111" s="31">
        <f t="shared" si="121"/>
        <v>0</v>
      </c>
      <c r="AA111" s="31">
        <f t="shared" si="156"/>
        <v>0</v>
      </c>
      <c r="AB111" s="35">
        <f>IFERROR((VLOOKUP(A111,AtskaiteStatusuTabula!B:AI,30,0)),0)</f>
        <v>1</v>
      </c>
      <c r="AC111" s="35">
        <v>30166486.23</v>
      </c>
      <c r="AD111" s="31">
        <v>0.9817279770845746</v>
      </c>
      <c r="AE111" s="35">
        <f>IFERROR((VLOOKUP(A111,AtskaiteStatusuTabula!B:AI,31,0)),0)</f>
        <v>30166486.23</v>
      </c>
      <c r="AF111" s="31">
        <f t="shared" si="157"/>
        <v>0.9817279770845746</v>
      </c>
      <c r="AG111" s="31">
        <f t="shared" si="159"/>
        <v>0</v>
      </c>
      <c r="AH111" s="31">
        <f t="shared" si="123"/>
        <v>0</v>
      </c>
      <c r="AI111" s="35">
        <v>30166486.23</v>
      </c>
      <c r="AJ111" s="31">
        <v>0.9817279770845746</v>
      </c>
      <c r="AL111" s="57">
        <f t="shared" si="122"/>
        <v>0</v>
      </c>
    </row>
    <row r="112" spans="1:38" ht="37.5" x14ac:dyDescent="0.3">
      <c r="A112" s="20" t="s">
        <v>317</v>
      </c>
      <c r="B112" s="95" t="str">
        <f>VLOOKUP(A112,saīsinājumi_LV_ENG!A:G,5,FALSE)</f>
        <v>Karjeras pieejas uzlabošana</v>
      </c>
      <c r="C112" s="96" t="s">
        <v>1363</v>
      </c>
      <c r="D112" s="97" t="s">
        <v>346</v>
      </c>
      <c r="E112" s="97" t="s">
        <v>348</v>
      </c>
      <c r="F112" s="98">
        <v>20075865</v>
      </c>
      <c r="G112" s="98">
        <v>0</v>
      </c>
      <c r="H112" s="98">
        <f t="shared" si="160"/>
        <v>20075865</v>
      </c>
      <c r="I112" s="98">
        <v>1219986</v>
      </c>
      <c r="J112" s="35">
        <f>IFERROR((VLOOKUP(A112,AtskaiteStatusuTabula!B:AI,10,0)),0)</f>
        <v>19942396.420000002</v>
      </c>
      <c r="K112" s="99">
        <f t="shared" si="149"/>
        <v>0.99335178932514245</v>
      </c>
      <c r="L112" s="99">
        <f t="shared" si="151"/>
        <v>0</v>
      </c>
      <c r="M112" s="99">
        <f t="shared" si="158"/>
        <v>0</v>
      </c>
      <c r="N112" s="35">
        <f>IFERROR((VLOOKUP(A112,AtskaiteStatusuTabula!B:AI,17,0)),0)</f>
        <v>1</v>
      </c>
      <c r="O112" s="98">
        <v>19942396.420000002</v>
      </c>
      <c r="P112" s="99">
        <v>0.99335178932514245</v>
      </c>
      <c r="Q112" s="35">
        <f>IFERROR((VLOOKUP(A112,AtskaiteStatusuTabula!B:AI,18,0)),0)</f>
        <v>19942396.420000002</v>
      </c>
      <c r="R112" s="31">
        <f t="shared" si="152"/>
        <v>0.99335178932514245</v>
      </c>
      <c r="S112" s="31">
        <f t="shared" si="153"/>
        <v>0</v>
      </c>
      <c r="T112" s="31">
        <f t="shared" si="154"/>
        <v>0</v>
      </c>
      <c r="U112" s="35">
        <f>IFERROR((VLOOKUP(A112,AtskaiteStatusuTabula!B:AI,23,0)),0)</f>
        <v>1</v>
      </c>
      <c r="V112" s="35">
        <v>19942396.420000002</v>
      </c>
      <c r="W112" s="31">
        <v>0.99335178932514245</v>
      </c>
      <c r="X112" s="35">
        <f>IFERROR((VLOOKUP(A112,AtskaiteStatusuTabula!B:AI,24,0)),0)</f>
        <v>19942396.420000002</v>
      </c>
      <c r="Y112" s="31">
        <f t="shared" si="155"/>
        <v>0.99335178932514245</v>
      </c>
      <c r="Z112" s="31">
        <f t="shared" si="121"/>
        <v>0</v>
      </c>
      <c r="AA112" s="31">
        <f t="shared" si="156"/>
        <v>0</v>
      </c>
      <c r="AB112" s="35">
        <f>IFERROR((VLOOKUP(A112,AtskaiteStatusuTabula!B:AI,30,0)),0)</f>
        <v>1</v>
      </c>
      <c r="AC112" s="35">
        <v>19942396.420000002</v>
      </c>
      <c r="AD112" s="31">
        <v>0.99335178932514245</v>
      </c>
      <c r="AE112" s="35">
        <f>IFERROR((VLOOKUP(A112,AtskaiteStatusuTabula!B:AI,31,0)),0)</f>
        <v>19942396.420000002</v>
      </c>
      <c r="AF112" s="31">
        <f t="shared" si="157"/>
        <v>0.99335178932514245</v>
      </c>
      <c r="AG112" s="31">
        <f t="shared" si="159"/>
        <v>0</v>
      </c>
      <c r="AH112" s="31">
        <f t="shared" si="123"/>
        <v>0</v>
      </c>
      <c r="AI112" s="35">
        <v>19942396.420000002</v>
      </c>
      <c r="AJ112" s="31">
        <v>0.99335178932514245</v>
      </c>
      <c r="AL112" s="57">
        <f t="shared" si="122"/>
        <v>0</v>
      </c>
    </row>
    <row r="113" spans="1:38" x14ac:dyDescent="0.3">
      <c r="A113" s="20" t="s">
        <v>318</v>
      </c>
      <c r="B113" s="95" t="str">
        <f>VLOOKUP(A113,saīsinājumi_LV_ENG!A:G,5,FALSE)</f>
        <v>Starptautiskie pētījumi</v>
      </c>
      <c r="C113" s="96" t="s">
        <v>1598</v>
      </c>
      <c r="D113" s="97" t="s">
        <v>346</v>
      </c>
      <c r="E113" s="97" t="s">
        <v>348</v>
      </c>
      <c r="F113" s="98">
        <v>5765907</v>
      </c>
      <c r="G113" s="98">
        <v>0</v>
      </c>
      <c r="H113" s="98">
        <f t="shared" si="160"/>
        <v>5765907</v>
      </c>
      <c r="I113" s="98">
        <v>0</v>
      </c>
      <c r="J113" s="35">
        <f>IFERROR((VLOOKUP(A113,AtskaiteStatusuTabula!B:AI,10,0)),0)</f>
        <v>5732007.0999999996</v>
      </c>
      <c r="K113" s="99">
        <f t="shared" si="149"/>
        <v>0.99412063011075269</v>
      </c>
      <c r="L113" s="99">
        <f t="shared" si="151"/>
        <v>0</v>
      </c>
      <c r="M113" s="99">
        <f t="shared" si="158"/>
        <v>0</v>
      </c>
      <c r="N113" s="35">
        <f>IFERROR((VLOOKUP(A113,AtskaiteStatusuTabula!B:AI,17,0)),0)</f>
        <v>1</v>
      </c>
      <c r="O113" s="98">
        <v>5732007.0999999996</v>
      </c>
      <c r="P113" s="99">
        <v>0.99412063011075269</v>
      </c>
      <c r="Q113" s="35">
        <f>IFERROR((VLOOKUP(A113,AtskaiteStatusuTabula!B:AI,18,0)),0)</f>
        <v>5732007.0999999996</v>
      </c>
      <c r="R113" s="31">
        <f t="shared" si="152"/>
        <v>0.99412063011075269</v>
      </c>
      <c r="S113" s="31">
        <f t="shared" si="153"/>
        <v>0</v>
      </c>
      <c r="T113" s="31">
        <f t="shared" si="154"/>
        <v>0</v>
      </c>
      <c r="U113" s="35">
        <f>IFERROR((VLOOKUP(A113,AtskaiteStatusuTabula!B:AI,23,0)),0)</f>
        <v>1</v>
      </c>
      <c r="V113" s="35">
        <v>5732007.0999999996</v>
      </c>
      <c r="W113" s="31">
        <v>0.99412063011075269</v>
      </c>
      <c r="X113" s="35">
        <f>IFERROR((VLOOKUP(A113,AtskaiteStatusuTabula!B:AI,24,0)),0)</f>
        <v>5732007.0999999996</v>
      </c>
      <c r="Y113" s="31">
        <f t="shared" si="155"/>
        <v>0.99412063011075269</v>
      </c>
      <c r="Z113" s="31">
        <f t="shared" si="121"/>
        <v>0</v>
      </c>
      <c r="AA113" s="31">
        <f t="shared" si="156"/>
        <v>0</v>
      </c>
      <c r="AB113" s="35">
        <f>IFERROR((VLOOKUP(A113,AtskaiteStatusuTabula!B:AI,30,0)),0)</f>
        <v>1</v>
      </c>
      <c r="AC113" s="35">
        <v>5732007.0999999996</v>
      </c>
      <c r="AD113" s="31">
        <v>0.99412063011075269</v>
      </c>
      <c r="AE113" s="35">
        <f>IFERROR((VLOOKUP(A113,AtskaiteStatusuTabula!B:AI,31,0)),0)</f>
        <v>5732007.0999999996</v>
      </c>
      <c r="AF113" s="31">
        <f t="shared" si="157"/>
        <v>0.99412063011075269</v>
      </c>
      <c r="AG113" s="31">
        <f t="shared" si="159"/>
        <v>0</v>
      </c>
      <c r="AH113" s="31">
        <f t="shared" si="123"/>
        <v>0</v>
      </c>
      <c r="AI113" s="35">
        <v>5732007.0999999996</v>
      </c>
      <c r="AJ113" s="31">
        <v>0.99412063011075269</v>
      </c>
      <c r="AL113" s="57">
        <f t="shared" si="122"/>
        <v>0</v>
      </c>
    </row>
    <row r="114" spans="1:38" ht="37.5" x14ac:dyDescent="0.3">
      <c r="A114" s="94" t="s">
        <v>319</v>
      </c>
      <c r="B114" s="95" t="str">
        <f>VLOOKUP(A114,saīsinājumi_LV_ENG!A:G,5,FALSE)</f>
        <v>Izglītības kvalitātes monitoringa sistēma</v>
      </c>
      <c r="C114" s="96" t="s">
        <v>1537</v>
      </c>
      <c r="D114" s="97" t="s">
        <v>346</v>
      </c>
      <c r="E114" s="97" t="s">
        <v>348</v>
      </c>
      <c r="F114" s="98">
        <v>3794705</v>
      </c>
      <c r="G114" s="98">
        <v>0</v>
      </c>
      <c r="H114" s="98">
        <f t="shared" si="160"/>
        <v>3794705</v>
      </c>
      <c r="I114" s="297">
        <v>0</v>
      </c>
      <c r="J114" s="35">
        <f>IFERROR((VLOOKUP(A114,AtskaiteStatusuTabula!B:AI,10,0)),0)</f>
        <v>3707048.5</v>
      </c>
      <c r="K114" s="99">
        <f t="shared" si="149"/>
        <v>0.97690031240900144</v>
      </c>
      <c r="L114" s="99">
        <f t="shared" si="151"/>
        <v>0</v>
      </c>
      <c r="M114" s="99">
        <f t="shared" si="158"/>
        <v>0</v>
      </c>
      <c r="N114" s="35">
        <f>IFERROR((VLOOKUP(A114,AtskaiteStatusuTabula!B:AI,17,0)),0)</f>
        <v>1</v>
      </c>
      <c r="O114" s="98">
        <v>3707048.5</v>
      </c>
      <c r="P114" s="99">
        <v>0.97690031240900144</v>
      </c>
      <c r="Q114" s="35">
        <f>IFERROR((VLOOKUP(A114,AtskaiteStatusuTabula!B:AI,18,0)),0)</f>
        <v>3707048.5</v>
      </c>
      <c r="R114" s="31">
        <f t="shared" si="152"/>
        <v>0.97690031240900144</v>
      </c>
      <c r="S114" s="31">
        <f t="shared" si="153"/>
        <v>0</v>
      </c>
      <c r="T114" s="31">
        <f t="shared" si="154"/>
        <v>0</v>
      </c>
      <c r="U114" s="35">
        <f>IFERROR((VLOOKUP(A114,AtskaiteStatusuTabula!B:AI,23,0)),0)</f>
        <v>1</v>
      </c>
      <c r="V114" s="35">
        <v>3707048.5</v>
      </c>
      <c r="W114" s="31">
        <v>0.97690031240900144</v>
      </c>
      <c r="X114" s="35">
        <f>IFERROR((VLOOKUP(A114,AtskaiteStatusuTabula!B:AI,24,0)),0)</f>
        <v>3707048.5</v>
      </c>
      <c r="Y114" s="31">
        <f t="shared" si="155"/>
        <v>0.97690031240900144</v>
      </c>
      <c r="Z114" s="31">
        <f t="shared" si="121"/>
        <v>0</v>
      </c>
      <c r="AA114" s="31">
        <f t="shared" si="156"/>
        <v>0</v>
      </c>
      <c r="AB114" s="35">
        <f>IFERROR((VLOOKUP(A114,AtskaiteStatusuTabula!B:AI,30,0)),0)</f>
        <v>1</v>
      </c>
      <c r="AC114" s="35">
        <v>3707048.5</v>
      </c>
      <c r="AD114" s="31">
        <v>0.97690031240900144</v>
      </c>
      <c r="AE114" s="35">
        <f>IFERROR((VLOOKUP(A114,AtskaiteStatusuTabula!B:AI,31,0)),0)</f>
        <v>3707048.5</v>
      </c>
      <c r="AF114" s="31">
        <f t="shared" si="157"/>
        <v>0.97690031240900144</v>
      </c>
      <c r="AG114" s="31">
        <f t="shared" si="159"/>
        <v>0</v>
      </c>
      <c r="AH114" s="31">
        <f t="shared" si="123"/>
        <v>0</v>
      </c>
      <c r="AI114" s="35">
        <v>3707048.5</v>
      </c>
      <c r="AJ114" s="31">
        <v>0.97690031240900144</v>
      </c>
      <c r="AL114" s="57">
        <f t="shared" si="122"/>
        <v>0</v>
      </c>
    </row>
    <row r="115" spans="1:38" x14ac:dyDescent="0.3">
      <c r="A115" s="94" t="s">
        <v>450</v>
      </c>
      <c r="B115" s="95" t="str">
        <f>VLOOKUP(A115,saīsinājumi_LV_ENG!A:G,5,FALSE)</f>
        <v xml:space="preserve">Mūžizglītība </v>
      </c>
      <c r="C115" s="96" t="s">
        <v>1583</v>
      </c>
      <c r="D115" s="97" t="s">
        <v>346</v>
      </c>
      <c r="E115" s="97" t="s">
        <v>348</v>
      </c>
      <c r="F115" s="98">
        <v>37406057</v>
      </c>
      <c r="G115" s="98">
        <v>0</v>
      </c>
      <c r="H115" s="98">
        <f t="shared" si="160"/>
        <v>37406057</v>
      </c>
      <c r="I115" s="98">
        <v>1428978.6074669501</v>
      </c>
      <c r="J115" s="35">
        <f>IFERROR((VLOOKUP(A115,AtskaiteStatusuTabula!B:AI,10,0)),0)</f>
        <v>36926055.189999998</v>
      </c>
      <c r="K115" s="99">
        <f t="shared" si="149"/>
        <v>0.98716780520331238</v>
      </c>
      <c r="L115" s="99">
        <f t="shared" si="151"/>
        <v>0</v>
      </c>
      <c r="M115" s="99">
        <f t="shared" si="158"/>
        <v>0</v>
      </c>
      <c r="N115" s="35">
        <f>IFERROR((VLOOKUP(A115,AtskaiteStatusuTabula!B:AI,17,0)),0)</f>
        <v>1</v>
      </c>
      <c r="O115" s="98">
        <v>36926055.189999998</v>
      </c>
      <c r="P115" s="99">
        <v>0.98716780520331238</v>
      </c>
      <c r="Q115" s="35">
        <f>IFERROR((VLOOKUP(A115,AtskaiteStatusuTabula!B:AI,18,0)),0)</f>
        <v>36926055.189999998</v>
      </c>
      <c r="R115" s="31">
        <f t="shared" si="152"/>
        <v>0.98716780520331238</v>
      </c>
      <c r="S115" s="31">
        <f t="shared" si="153"/>
        <v>0</v>
      </c>
      <c r="T115" s="31">
        <f t="shared" si="154"/>
        <v>0</v>
      </c>
      <c r="U115" s="35">
        <f>IFERROR((VLOOKUP(A115,AtskaiteStatusuTabula!B:AI,23,0)),0)</f>
        <v>1</v>
      </c>
      <c r="V115" s="35">
        <v>36926055.189999998</v>
      </c>
      <c r="W115" s="31">
        <v>0.98716780520331238</v>
      </c>
      <c r="X115" s="35">
        <f>IFERROR((VLOOKUP(A115,AtskaiteStatusuTabula!B:AI,24,0)),0)</f>
        <v>36926055.189999998</v>
      </c>
      <c r="Y115" s="31">
        <f t="shared" si="155"/>
        <v>0.98716780520331238</v>
      </c>
      <c r="Z115" s="31">
        <f t="shared" si="121"/>
        <v>0</v>
      </c>
      <c r="AA115" s="31">
        <f t="shared" si="156"/>
        <v>0</v>
      </c>
      <c r="AB115" s="35">
        <f>IFERROR((VLOOKUP(A115,AtskaiteStatusuTabula!B:AI,30,0)),0)</f>
        <v>1</v>
      </c>
      <c r="AC115" s="35">
        <v>36926055.189999998</v>
      </c>
      <c r="AD115" s="31">
        <v>0.98716780520331238</v>
      </c>
      <c r="AE115" s="35">
        <f>IFERROR((VLOOKUP(A115,AtskaiteStatusuTabula!B:AI,31,0)),0)</f>
        <v>36926055.189999998</v>
      </c>
      <c r="AF115" s="31">
        <f t="shared" si="157"/>
        <v>0.98716780520331238</v>
      </c>
      <c r="AG115" s="31">
        <f t="shared" si="159"/>
        <v>0</v>
      </c>
      <c r="AH115" s="31">
        <f t="shared" si="123"/>
        <v>0</v>
      </c>
      <c r="AI115" s="35">
        <v>36926055.189999998</v>
      </c>
      <c r="AJ115" s="31">
        <v>0.98716780520331238</v>
      </c>
      <c r="AL115" s="57">
        <f t="shared" si="122"/>
        <v>0</v>
      </c>
    </row>
    <row r="116" spans="1:38" ht="56.25" x14ac:dyDescent="0.3">
      <c r="A116" s="94" t="s">
        <v>320</v>
      </c>
      <c r="B116" s="95" t="str">
        <f>VLOOKUP(A116,saīsinājumi_LV_ENG!A:G,5,FALSE)</f>
        <v>Darba vidē balstītās mācības un mācību prakses</v>
      </c>
      <c r="C116" s="96" t="s">
        <v>1583</v>
      </c>
      <c r="D116" s="97" t="s">
        <v>346</v>
      </c>
      <c r="E116" s="97" t="s">
        <v>348</v>
      </c>
      <c r="F116" s="98">
        <v>13642147</v>
      </c>
      <c r="G116" s="98">
        <v>0</v>
      </c>
      <c r="H116" s="98">
        <f t="shared" si="160"/>
        <v>13642147</v>
      </c>
      <c r="I116" s="98">
        <v>0</v>
      </c>
      <c r="J116" s="35">
        <f>IFERROR((VLOOKUP(A116,AtskaiteStatusuTabula!B:AI,10,0)),0)</f>
        <v>13622344.84</v>
      </c>
      <c r="K116" s="99">
        <f t="shared" si="149"/>
        <v>0.99854845721864749</v>
      </c>
      <c r="L116" s="99">
        <f t="shared" si="151"/>
        <v>0</v>
      </c>
      <c r="M116" s="99">
        <f t="shared" si="158"/>
        <v>0</v>
      </c>
      <c r="N116" s="35">
        <f>IFERROR((VLOOKUP(A116,AtskaiteStatusuTabula!B:AI,17,0)),0)</f>
        <v>1</v>
      </c>
      <c r="O116" s="98">
        <v>13622344.84</v>
      </c>
      <c r="P116" s="99">
        <v>0.99854845721864749</v>
      </c>
      <c r="Q116" s="35">
        <f>IFERROR((VLOOKUP(A116,AtskaiteStatusuTabula!B:AI,18,0)),0)</f>
        <v>13622344.84</v>
      </c>
      <c r="R116" s="31">
        <f t="shared" si="152"/>
        <v>0.99854845721864749</v>
      </c>
      <c r="S116" s="31">
        <f t="shared" si="153"/>
        <v>0</v>
      </c>
      <c r="T116" s="31">
        <f t="shared" si="154"/>
        <v>0</v>
      </c>
      <c r="U116" s="35">
        <f>IFERROR((VLOOKUP(A116,AtskaiteStatusuTabula!B:AI,23,0)),0)</f>
        <v>1</v>
      </c>
      <c r="V116" s="35">
        <v>13622344.84</v>
      </c>
      <c r="W116" s="31">
        <v>0.99854845721864749</v>
      </c>
      <c r="X116" s="35">
        <f>IFERROR((VLOOKUP(A116,AtskaiteStatusuTabula!B:AI,24,0)),0)</f>
        <v>13622344.84</v>
      </c>
      <c r="Y116" s="31">
        <f t="shared" si="155"/>
        <v>0.99854845721864749</v>
      </c>
      <c r="Z116" s="31">
        <f t="shared" si="121"/>
        <v>0</v>
      </c>
      <c r="AA116" s="31">
        <f t="shared" si="156"/>
        <v>0</v>
      </c>
      <c r="AB116" s="35">
        <f>IFERROR((VLOOKUP(A116,AtskaiteStatusuTabula!B:AI,30,0)),0)</f>
        <v>1</v>
      </c>
      <c r="AC116" s="35">
        <v>13622344.84</v>
      </c>
      <c r="AD116" s="31">
        <v>0.99854845721864749</v>
      </c>
      <c r="AE116" s="35">
        <f>IFERROR((VLOOKUP(A116,AtskaiteStatusuTabula!B:AI,31,0)),0)</f>
        <v>13622344.84</v>
      </c>
      <c r="AF116" s="31">
        <f t="shared" si="157"/>
        <v>0.99854845721864749</v>
      </c>
      <c r="AG116" s="31">
        <f t="shared" si="159"/>
        <v>0</v>
      </c>
      <c r="AH116" s="31">
        <f t="shared" si="123"/>
        <v>0</v>
      </c>
      <c r="AI116" s="35">
        <v>13622344.84</v>
      </c>
      <c r="AJ116" s="31">
        <v>0.99854845721864749</v>
      </c>
      <c r="AL116" s="57">
        <f t="shared" si="122"/>
        <v>0</v>
      </c>
    </row>
    <row r="117" spans="1:38" ht="56.25" x14ac:dyDescent="0.3">
      <c r="A117" s="20" t="s">
        <v>321</v>
      </c>
      <c r="B117" s="95" t="str">
        <f>VLOOKUP(A117,saīsinājumi_LV_ENG!A:G,5,FALSE)</f>
        <v>Profesionālās izglītības kvalifikācijas atbilstība Eiropas prasībām</v>
      </c>
      <c r="C117" s="96" t="s">
        <v>1288</v>
      </c>
      <c r="D117" s="97" t="s">
        <v>346</v>
      </c>
      <c r="E117" s="97" t="s">
        <v>348</v>
      </c>
      <c r="F117" s="98">
        <v>10686696</v>
      </c>
      <c r="G117" s="98">
        <v>0</v>
      </c>
      <c r="H117" s="98">
        <f t="shared" si="160"/>
        <v>10686696</v>
      </c>
      <c r="I117" s="98">
        <v>0</v>
      </c>
      <c r="J117" s="35">
        <f>IFERROR((VLOOKUP(A117,AtskaiteStatusuTabula!B:AI,10,0)),0)</f>
        <v>10615913.76</v>
      </c>
      <c r="K117" s="99">
        <f t="shared" si="149"/>
        <v>0.9933766020854341</v>
      </c>
      <c r="L117" s="99">
        <f t="shared" ref="L117:L152" si="161">K117-P117</f>
        <v>0</v>
      </c>
      <c r="M117" s="99">
        <f t="shared" si="158"/>
        <v>0</v>
      </c>
      <c r="N117" s="35">
        <f>IFERROR((VLOOKUP(A117,AtskaiteStatusuTabula!B:AI,17,0)),0)</f>
        <v>1</v>
      </c>
      <c r="O117" s="98">
        <v>10615913.76</v>
      </c>
      <c r="P117" s="99">
        <v>0.9933766020854341</v>
      </c>
      <c r="Q117" s="35">
        <f>IFERROR((VLOOKUP(A117,AtskaiteStatusuTabula!B:AI,18,0)),0)</f>
        <v>10615913.76</v>
      </c>
      <c r="R117" s="31">
        <f t="shared" ref="R117:R152" si="162">Q117/F117</f>
        <v>0.9933766020854341</v>
      </c>
      <c r="S117" s="31">
        <f t="shared" ref="S117:S152" si="163">R117-W117</f>
        <v>0</v>
      </c>
      <c r="T117" s="31">
        <f t="shared" si="154"/>
        <v>0</v>
      </c>
      <c r="U117" s="35">
        <f>IFERROR((VLOOKUP(A117,AtskaiteStatusuTabula!B:AI,23,0)),0)</f>
        <v>1</v>
      </c>
      <c r="V117" s="35">
        <v>10615913.76</v>
      </c>
      <c r="W117" s="31">
        <v>0.9933766020854341</v>
      </c>
      <c r="X117" s="35">
        <f>IFERROR((VLOOKUP(A117,AtskaiteStatusuTabula!B:AI,24,0)),0)</f>
        <v>10615913.76</v>
      </c>
      <c r="Y117" s="31">
        <f t="shared" ref="Y117:Y152" si="164">X117/F117</f>
        <v>0.9933766020854341</v>
      </c>
      <c r="Z117" s="31">
        <f t="shared" si="121"/>
        <v>0</v>
      </c>
      <c r="AA117" s="31">
        <f t="shared" si="156"/>
        <v>0</v>
      </c>
      <c r="AB117" s="35">
        <f>IFERROR((VLOOKUP(A117,AtskaiteStatusuTabula!B:AI,30,0)),0)</f>
        <v>1</v>
      </c>
      <c r="AC117" s="35">
        <v>10615913.76</v>
      </c>
      <c r="AD117" s="31">
        <v>0.9933766020854341</v>
      </c>
      <c r="AE117" s="35">
        <f>IFERROR((VLOOKUP(A117,AtskaiteStatusuTabula!B:AI,31,0)),0)</f>
        <v>10615913.76</v>
      </c>
      <c r="AF117" s="31">
        <f t="shared" si="157"/>
        <v>0.9933766020854341</v>
      </c>
      <c r="AG117" s="31">
        <f t="shared" si="159"/>
        <v>0</v>
      </c>
      <c r="AH117" s="31">
        <f t="shared" si="123"/>
        <v>0</v>
      </c>
      <c r="AI117" s="35">
        <v>10615913.76</v>
      </c>
      <c r="AJ117" s="31">
        <v>0.9933766020854341</v>
      </c>
      <c r="AL117" s="57">
        <f t="shared" si="122"/>
        <v>0</v>
      </c>
    </row>
    <row r="118" spans="1:38" ht="37.5" x14ac:dyDescent="0.3">
      <c r="A118" s="20" t="s">
        <v>322</v>
      </c>
      <c r="B118" s="12" t="str">
        <f>VLOOKUP(A118,saīsinājumi_LV_ENG!A:G,5,FALSE)</f>
        <v xml:space="preserve">Profesionālās izglītības pārvaldība </v>
      </c>
      <c r="C118" s="11"/>
      <c r="D118" s="40" t="s">
        <v>346</v>
      </c>
      <c r="E118" s="40" t="s">
        <v>348</v>
      </c>
      <c r="F118" s="35">
        <v>5516580</v>
      </c>
      <c r="G118" s="35">
        <v>0</v>
      </c>
      <c r="H118" s="35">
        <f t="shared" si="160"/>
        <v>5516580</v>
      </c>
      <c r="I118" s="35">
        <v>343049.934610072</v>
      </c>
      <c r="J118" s="35">
        <f>IFERROR((VLOOKUP(A118,AtskaiteStatusuTabula!B:AI,10,0)),0)</f>
        <v>5321879.8099999996</v>
      </c>
      <c r="K118" s="31">
        <f t="shared" si="149"/>
        <v>0.9647063597373734</v>
      </c>
      <c r="L118" s="31">
        <f t="shared" si="161"/>
        <v>0</v>
      </c>
      <c r="M118" s="31">
        <f t="shared" si="158"/>
        <v>0</v>
      </c>
      <c r="N118" s="35">
        <f>IFERROR((VLOOKUP(A118,AtskaiteStatusuTabula!B:AI,17,0)),0)</f>
        <v>1</v>
      </c>
      <c r="O118" s="35">
        <v>5321879.8099999996</v>
      </c>
      <c r="P118" s="31">
        <v>0.9647063597373734</v>
      </c>
      <c r="Q118" s="35">
        <f>IFERROR((VLOOKUP(A118,AtskaiteStatusuTabula!B:AI,18,0)),0)</f>
        <v>5321879.8099999996</v>
      </c>
      <c r="R118" s="31">
        <f t="shared" si="162"/>
        <v>0.9647063597373734</v>
      </c>
      <c r="S118" s="31">
        <f t="shared" si="163"/>
        <v>0</v>
      </c>
      <c r="T118" s="31">
        <f t="shared" si="154"/>
        <v>0</v>
      </c>
      <c r="U118" s="35">
        <f>IFERROR((VLOOKUP(A118,AtskaiteStatusuTabula!B:AI,23,0)),0)</f>
        <v>1</v>
      </c>
      <c r="V118" s="35">
        <v>5321879.8099999996</v>
      </c>
      <c r="W118" s="31">
        <v>0.9647063597373734</v>
      </c>
      <c r="X118" s="35">
        <f>IFERROR((VLOOKUP(A118,AtskaiteStatusuTabula!B:AI,24,0)),0)</f>
        <v>5321879.8099999996</v>
      </c>
      <c r="Y118" s="31">
        <f t="shared" si="164"/>
        <v>0.9647063597373734</v>
      </c>
      <c r="Z118" s="31">
        <f t="shared" si="121"/>
        <v>0</v>
      </c>
      <c r="AA118" s="31">
        <f t="shared" si="156"/>
        <v>0</v>
      </c>
      <c r="AB118" s="35">
        <f>IFERROR((VLOOKUP(A118,AtskaiteStatusuTabula!B:AI,30,0)),0)</f>
        <v>1</v>
      </c>
      <c r="AC118" s="35">
        <v>5321879.8099999996</v>
      </c>
      <c r="AD118" s="31">
        <v>0.9647063597373734</v>
      </c>
      <c r="AE118" s="35">
        <f>IFERROR((VLOOKUP(A118,AtskaiteStatusuTabula!B:AI,31,0)),0)</f>
        <v>5321879.8099999996</v>
      </c>
      <c r="AF118" s="31">
        <f t="shared" si="157"/>
        <v>0.9647063597373734</v>
      </c>
      <c r="AG118" s="31">
        <f t="shared" ref="AG118:AG152" si="165">AF118-AJ118</f>
        <v>0</v>
      </c>
      <c r="AH118" s="31">
        <f t="shared" si="123"/>
        <v>0</v>
      </c>
      <c r="AI118" s="35">
        <v>5321879.8099999996</v>
      </c>
      <c r="AJ118" s="31">
        <v>0.9647063597373734</v>
      </c>
      <c r="AL118" s="57">
        <f t="shared" si="122"/>
        <v>0</v>
      </c>
    </row>
    <row r="119" spans="1:38" x14ac:dyDescent="0.3">
      <c r="A119" s="21" t="s">
        <v>127</v>
      </c>
      <c r="B119" s="10" t="str">
        <f>VLOOKUP(A119,saīsinājumi_LV_ENG!A:G,5,FALSE)</f>
        <v>Sociālā iekļaušana</v>
      </c>
      <c r="C119" s="10"/>
      <c r="D119" s="42"/>
      <c r="E119" s="42"/>
      <c r="F119" s="37">
        <f>SUM(F120:F144)</f>
        <v>516095086</v>
      </c>
      <c r="G119" s="37">
        <f>SUM(G120:G144)</f>
        <v>15313244</v>
      </c>
      <c r="H119" s="37">
        <f>SUM(H120:H144)</f>
        <v>531408330</v>
      </c>
      <c r="I119" s="37">
        <f>SUM(I120:I144)</f>
        <v>15459759</v>
      </c>
      <c r="J119" s="37">
        <f>SUM(J120:J144)</f>
        <v>489166989.72999996</v>
      </c>
      <c r="K119" s="33">
        <f t="shared" si="149"/>
        <v>0.94782338177503977</v>
      </c>
      <c r="L119" s="33">
        <f t="shared" si="161"/>
        <v>0</v>
      </c>
      <c r="M119" s="33">
        <f t="shared" si="158"/>
        <v>0</v>
      </c>
      <c r="N119" s="37">
        <f>SUM(N120:N144)</f>
        <v>610</v>
      </c>
      <c r="O119" s="37">
        <v>489166989.72999996</v>
      </c>
      <c r="P119" s="33">
        <v>0.94782338177503977</v>
      </c>
      <c r="Q119" s="37">
        <f>SUM(Q120:Q144)</f>
        <v>489166989.72999996</v>
      </c>
      <c r="R119" s="33">
        <f t="shared" si="162"/>
        <v>0.94782338177503977</v>
      </c>
      <c r="S119" s="33">
        <f t="shared" si="163"/>
        <v>0</v>
      </c>
      <c r="T119" s="33">
        <f t="shared" si="154"/>
        <v>0</v>
      </c>
      <c r="U119" s="37">
        <f>SUM(U120:U144)</f>
        <v>610</v>
      </c>
      <c r="V119" s="37">
        <v>489166989.72999996</v>
      </c>
      <c r="W119" s="33">
        <v>0.94782338177503977</v>
      </c>
      <c r="X119" s="37">
        <f>SUM(X120:X144)</f>
        <v>489166989.72999996</v>
      </c>
      <c r="Y119" s="33">
        <f t="shared" si="164"/>
        <v>0.94782338177503977</v>
      </c>
      <c r="Z119" s="33">
        <f t="shared" si="121"/>
        <v>0</v>
      </c>
      <c r="AA119" s="33">
        <f t="shared" si="156"/>
        <v>0</v>
      </c>
      <c r="AB119" s="37">
        <f>SUM(AB120:AB144)</f>
        <v>610</v>
      </c>
      <c r="AC119" s="37">
        <v>489166989.72999996</v>
      </c>
      <c r="AD119" s="33">
        <v>0.94782338177503977</v>
      </c>
      <c r="AE119" s="37">
        <f>SUM(AE120:AE144)</f>
        <v>485781659.57999998</v>
      </c>
      <c r="AF119" s="33">
        <f t="shared" si="157"/>
        <v>0.94126387318479521</v>
      </c>
      <c r="AG119" s="33">
        <f t="shared" si="165"/>
        <v>0</v>
      </c>
      <c r="AH119" s="33">
        <f t="shared" si="123"/>
        <v>0</v>
      </c>
      <c r="AI119" s="37">
        <v>485781659.57999998</v>
      </c>
      <c r="AJ119" s="33">
        <v>0.94126387318479521</v>
      </c>
      <c r="AL119" s="57">
        <f t="shared" si="122"/>
        <v>0</v>
      </c>
    </row>
    <row r="120" spans="1:38" ht="37.5" x14ac:dyDescent="0.3">
      <c r="A120" s="20" t="s">
        <v>324</v>
      </c>
      <c r="B120" s="12" t="str">
        <f>VLOOKUP(A120,saīsinājumi_LV_ENG!A:G,5,FALSE)</f>
        <v>Subsidētās darbavietas bezdarbniekiem</v>
      </c>
      <c r="C120" s="441" t="s">
        <v>1593</v>
      </c>
      <c r="D120" s="40" t="s">
        <v>346</v>
      </c>
      <c r="E120" s="40" t="s">
        <v>351</v>
      </c>
      <c r="F120" s="98">
        <v>65931882</v>
      </c>
      <c r="G120" s="35">
        <v>0</v>
      </c>
      <c r="H120" s="35">
        <f t="shared" ref="H120:H139" si="166">F120+G120</f>
        <v>65931882</v>
      </c>
      <c r="I120" s="35">
        <v>0</v>
      </c>
      <c r="J120" s="35">
        <f>IFERROR((VLOOKUP(A120,AtskaiteStatusuTabula!B:AI,10,0)),0)</f>
        <v>65086757.420000002</v>
      </c>
      <c r="K120" s="31">
        <f t="shared" si="149"/>
        <v>0.98718185262783797</v>
      </c>
      <c r="L120" s="31">
        <f t="shared" si="161"/>
        <v>0</v>
      </c>
      <c r="M120" s="31">
        <f t="shared" si="158"/>
        <v>0</v>
      </c>
      <c r="N120" s="35">
        <f>IFERROR((VLOOKUP(A120,AtskaiteStatusuTabula!B:AI,17,0)),0)</f>
        <v>1</v>
      </c>
      <c r="O120" s="35">
        <v>65086757.420000002</v>
      </c>
      <c r="P120" s="31">
        <v>0.98718185262783797</v>
      </c>
      <c r="Q120" s="35">
        <f>IFERROR((VLOOKUP(A120,AtskaiteStatusuTabula!B:AI,18,0)),0)</f>
        <v>65086757.420000002</v>
      </c>
      <c r="R120" s="31">
        <f t="shared" si="162"/>
        <v>0.98718185262783797</v>
      </c>
      <c r="S120" s="31">
        <f t="shared" si="163"/>
        <v>0</v>
      </c>
      <c r="T120" s="31">
        <f t="shared" si="154"/>
        <v>0</v>
      </c>
      <c r="U120" s="35">
        <f>IFERROR((VLOOKUP(A120,AtskaiteStatusuTabula!B:AI,23,0)),0)</f>
        <v>1</v>
      </c>
      <c r="V120" s="35">
        <v>65086757.420000002</v>
      </c>
      <c r="W120" s="31">
        <v>0.98718185262783797</v>
      </c>
      <c r="X120" s="35">
        <f>IFERROR((VLOOKUP(A120,AtskaiteStatusuTabula!B:AI,24,0)),0)</f>
        <v>65086757.420000002</v>
      </c>
      <c r="Y120" s="31">
        <f t="shared" si="164"/>
        <v>0.98718185262783797</v>
      </c>
      <c r="Z120" s="31">
        <f t="shared" si="121"/>
        <v>0</v>
      </c>
      <c r="AA120" s="31">
        <f t="shared" si="156"/>
        <v>0</v>
      </c>
      <c r="AB120" s="35">
        <f>IFERROR((VLOOKUP(A120,AtskaiteStatusuTabula!B:AI,30,0)),0)</f>
        <v>1</v>
      </c>
      <c r="AC120" s="35">
        <v>65086757.420000002</v>
      </c>
      <c r="AD120" s="31">
        <v>0.98718185262783797</v>
      </c>
      <c r="AE120" s="35">
        <f>IFERROR((VLOOKUP(A120,AtskaiteStatusuTabula!B:AI,31,0)),0)</f>
        <v>65060335.469999999</v>
      </c>
      <c r="AF120" s="31">
        <f t="shared" si="157"/>
        <v>0.98678110644558881</v>
      </c>
      <c r="AG120" s="31">
        <f t="shared" si="165"/>
        <v>0</v>
      </c>
      <c r="AH120" s="31">
        <f t="shared" si="123"/>
        <v>0</v>
      </c>
      <c r="AI120" s="35">
        <v>65060335.469999999</v>
      </c>
      <c r="AJ120" s="31">
        <v>0.98678110644558881</v>
      </c>
      <c r="AL120" s="57">
        <f t="shared" si="122"/>
        <v>0</v>
      </c>
    </row>
    <row r="121" spans="1:38" ht="37.5" x14ac:dyDescent="0.3">
      <c r="A121" s="20" t="s">
        <v>325</v>
      </c>
      <c r="B121" s="12" t="str">
        <f>VLOOKUP(A121,saīsinājumi_LV_ENG!A:G,5,FALSE)</f>
        <v>Atbalsts ilgstošajiem bezdarbniekiem</v>
      </c>
      <c r="C121" s="441" t="s">
        <v>1543</v>
      </c>
      <c r="D121" s="40" t="s">
        <v>346</v>
      </c>
      <c r="E121" s="40" t="s">
        <v>351</v>
      </c>
      <c r="F121" s="98">
        <v>15114906</v>
      </c>
      <c r="G121" s="35">
        <v>0</v>
      </c>
      <c r="H121" s="35">
        <f t="shared" si="166"/>
        <v>15114906</v>
      </c>
      <c r="I121" s="35">
        <v>0</v>
      </c>
      <c r="J121" s="35">
        <f>IFERROR((VLOOKUP(A121,AtskaiteStatusuTabula!B:AI,10,0)),0)</f>
        <v>15109732.189999999</v>
      </c>
      <c r="K121" s="31">
        <f t="shared" si="149"/>
        <v>0.99965770147693933</v>
      </c>
      <c r="L121" s="31">
        <f t="shared" si="161"/>
        <v>0</v>
      </c>
      <c r="M121" s="31">
        <f t="shared" si="158"/>
        <v>0</v>
      </c>
      <c r="N121" s="35">
        <f>IFERROR((VLOOKUP(A121,AtskaiteStatusuTabula!B:AI,17,0)),0)</f>
        <v>1</v>
      </c>
      <c r="O121" s="35">
        <v>15109732.189999999</v>
      </c>
      <c r="P121" s="31">
        <v>0.99965770147693933</v>
      </c>
      <c r="Q121" s="35">
        <f>IFERROR((VLOOKUP(A121,AtskaiteStatusuTabula!B:AI,18,0)),0)</f>
        <v>15109732.189999999</v>
      </c>
      <c r="R121" s="31">
        <f t="shared" si="162"/>
        <v>0.99965770147693933</v>
      </c>
      <c r="S121" s="31">
        <f t="shared" si="163"/>
        <v>0</v>
      </c>
      <c r="T121" s="31">
        <f t="shared" si="154"/>
        <v>0</v>
      </c>
      <c r="U121" s="35">
        <f>IFERROR((VLOOKUP(A121,AtskaiteStatusuTabula!B:AI,23,0)),0)</f>
        <v>1</v>
      </c>
      <c r="V121" s="35">
        <v>15109732.189999999</v>
      </c>
      <c r="W121" s="31">
        <v>0.99965770147693933</v>
      </c>
      <c r="X121" s="35">
        <f>IFERROR((VLOOKUP(A121,AtskaiteStatusuTabula!B:AI,24,0)),0)</f>
        <v>15109732.189999999</v>
      </c>
      <c r="Y121" s="31">
        <f t="shared" si="164"/>
        <v>0.99965770147693933</v>
      </c>
      <c r="Z121" s="31">
        <f t="shared" si="121"/>
        <v>0</v>
      </c>
      <c r="AA121" s="31">
        <f t="shared" si="156"/>
        <v>0</v>
      </c>
      <c r="AB121" s="35">
        <f>IFERROR((VLOOKUP(A121,AtskaiteStatusuTabula!B:AI,30,0)),0)</f>
        <v>1</v>
      </c>
      <c r="AC121" s="35">
        <v>15109732.189999999</v>
      </c>
      <c r="AD121" s="31">
        <v>0.99965770147693933</v>
      </c>
      <c r="AE121" s="35">
        <f>IFERROR((VLOOKUP(A121,AtskaiteStatusuTabula!B:AI,31,0)),0)</f>
        <v>15065475.98</v>
      </c>
      <c r="AF121" s="31">
        <f t="shared" si="157"/>
        <v>0.99672971700915647</v>
      </c>
      <c r="AG121" s="31">
        <f t="shared" si="165"/>
        <v>0</v>
      </c>
      <c r="AH121" s="31">
        <f t="shared" si="123"/>
        <v>0</v>
      </c>
      <c r="AI121" s="35">
        <v>15065475.98</v>
      </c>
      <c r="AJ121" s="31">
        <v>0.99672971700915647</v>
      </c>
      <c r="AL121" s="57">
        <f t="shared" si="122"/>
        <v>0</v>
      </c>
    </row>
    <row r="122" spans="1:38" x14ac:dyDescent="0.3">
      <c r="A122" s="20" t="s">
        <v>326</v>
      </c>
      <c r="B122" s="12" t="str">
        <f>VLOOKUP(A122,saīsinājumi_LV_ENG!A:G,5,FALSE)</f>
        <v xml:space="preserve">Sociālā uzņēmējdarbība </v>
      </c>
      <c r="C122" s="441" t="s">
        <v>1542</v>
      </c>
      <c r="D122" s="40" t="s">
        <v>346</v>
      </c>
      <c r="E122" s="40" t="s">
        <v>351</v>
      </c>
      <c r="F122" s="35">
        <v>14521202</v>
      </c>
      <c r="G122" s="35">
        <v>0</v>
      </c>
      <c r="H122" s="35">
        <f>F122+G122</f>
        <v>14521202</v>
      </c>
      <c r="I122" s="35">
        <v>0</v>
      </c>
      <c r="J122" s="35">
        <f>IFERROR((VLOOKUP(A122,AtskaiteStatusuTabula!B:AI,10,0)),0)</f>
        <v>14048711.130000001</v>
      </c>
      <c r="K122" s="31">
        <f t="shared" si="149"/>
        <v>0.96746200004655269</v>
      </c>
      <c r="L122" s="31">
        <f t="shared" si="161"/>
        <v>0</v>
      </c>
      <c r="M122" s="31">
        <f t="shared" si="158"/>
        <v>0</v>
      </c>
      <c r="N122" s="35">
        <f>IFERROR((VLOOKUP(A122,AtskaiteStatusuTabula!B:AI,17,0)),0)</f>
        <v>1</v>
      </c>
      <c r="O122" s="35">
        <v>14048711.130000001</v>
      </c>
      <c r="P122" s="31">
        <v>0.96746200004655269</v>
      </c>
      <c r="Q122" s="35">
        <f>IFERROR((VLOOKUP(A122,AtskaiteStatusuTabula!B:AI,18,0)),0)</f>
        <v>14048711.130000001</v>
      </c>
      <c r="R122" s="31">
        <f t="shared" si="162"/>
        <v>0.96746200004655269</v>
      </c>
      <c r="S122" s="31">
        <f t="shared" si="163"/>
        <v>0</v>
      </c>
      <c r="T122" s="31">
        <f t="shared" si="154"/>
        <v>0</v>
      </c>
      <c r="U122" s="35">
        <f>IFERROR((VLOOKUP(A122,AtskaiteStatusuTabula!B:AI,23,0)),0)</f>
        <v>1</v>
      </c>
      <c r="V122" s="35">
        <v>14048711.130000001</v>
      </c>
      <c r="W122" s="31">
        <v>0.96746200004655269</v>
      </c>
      <c r="X122" s="35">
        <f>IFERROR((VLOOKUP(A122,AtskaiteStatusuTabula!B:AI,24,0)),0)</f>
        <v>14048711.130000001</v>
      </c>
      <c r="Y122" s="31">
        <f t="shared" si="164"/>
        <v>0.96746200004655269</v>
      </c>
      <c r="Z122" s="31">
        <f t="shared" si="121"/>
        <v>0</v>
      </c>
      <c r="AA122" s="31">
        <f t="shared" si="156"/>
        <v>0</v>
      </c>
      <c r="AB122" s="35">
        <f>IFERROR((VLOOKUP(A122,AtskaiteStatusuTabula!B:AI,30,0)),0)</f>
        <v>1</v>
      </c>
      <c r="AC122" s="35">
        <v>14048711.130000001</v>
      </c>
      <c r="AD122" s="31">
        <v>0.96746200004655269</v>
      </c>
      <c r="AE122" s="35">
        <f>IFERROR((VLOOKUP(A122,AtskaiteStatusuTabula!B:AI,31,0)),0)</f>
        <v>13529240.689999999</v>
      </c>
      <c r="AF122" s="31">
        <f t="shared" si="157"/>
        <v>0.93168876033815928</v>
      </c>
      <c r="AG122" s="31">
        <f t="shared" si="165"/>
        <v>0</v>
      </c>
      <c r="AH122" s="31">
        <f t="shared" si="123"/>
        <v>0</v>
      </c>
      <c r="AI122" s="35">
        <v>13529240.689999999</v>
      </c>
      <c r="AJ122" s="31">
        <v>0.93168876033815928</v>
      </c>
      <c r="AL122" s="57">
        <f t="shared" si="122"/>
        <v>0</v>
      </c>
    </row>
    <row r="123" spans="1:38" ht="37.5" x14ac:dyDescent="0.3">
      <c r="A123" s="20" t="s">
        <v>327</v>
      </c>
      <c r="B123" s="12" t="str">
        <f>VLOOKUP(A123,saīsinājumi_LV_ENG!A:G,5,FALSE)</f>
        <v>Bijušo ieslodzīto integrācija sabiedrībā</v>
      </c>
      <c r="C123" s="11"/>
      <c r="D123" s="40" t="s">
        <v>346</v>
      </c>
      <c r="E123" s="40" t="s">
        <v>353</v>
      </c>
      <c r="F123" s="469">
        <v>3813642</v>
      </c>
      <c r="G123" s="35">
        <v>0</v>
      </c>
      <c r="H123" s="35">
        <f t="shared" si="166"/>
        <v>3813642</v>
      </c>
      <c r="I123" s="35">
        <v>273537</v>
      </c>
      <c r="J123" s="35">
        <f>IFERROR((VLOOKUP(A123,AtskaiteStatusuTabula!B:AI,10,0)),0)</f>
        <v>3813625.6</v>
      </c>
      <c r="K123" s="31">
        <f t="shared" si="149"/>
        <v>0.99999569964878721</v>
      </c>
      <c r="L123" s="31">
        <f t="shared" si="161"/>
        <v>0</v>
      </c>
      <c r="M123" s="31">
        <f t="shared" si="158"/>
        <v>0</v>
      </c>
      <c r="N123" s="35">
        <f>IFERROR((VLOOKUP(A123,AtskaiteStatusuTabula!B:AI,17,0)),0)</f>
        <v>1</v>
      </c>
      <c r="O123" s="35">
        <v>3813625.6</v>
      </c>
      <c r="P123" s="31">
        <v>0.99999569964878721</v>
      </c>
      <c r="Q123" s="35">
        <f>IFERROR((VLOOKUP(A123,AtskaiteStatusuTabula!B:AI,18,0)),0)</f>
        <v>3813625.6</v>
      </c>
      <c r="R123" s="31">
        <f t="shared" si="162"/>
        <v>0.99999569964878721</v>
      </c>
      <c r="S123" s="31">
        <f t="shared" si="163"/>
        <v>0</v>
      </c>
      <c r="T123" s="31">
        <f t="shared" si="154"/>
        <v>0</v>
      </c>
      <c r="U123" s="35">
        <f>IFERROR((VLOOKUP(A123,AtskaiteStatusuTabula!B:AI,23,0)),0)</f>
        <v>1</v>
      </c>
      <c r="V123" s="35">
        <v>3813625.6</v>
      </c>
      <c r="W123" s="31">
        <v>0.99999569964878721</v>
      </c>
      <c r="X123" s="35">
        <f>IFERROR((VLOOKUP(A123,AtskaiteStatusuTabula!B:AI,24,0)),0)</f>
        <v>3813625.6</v>
      </c>
      <c r="Y123" s="31">
        <f t="shared" si="164"/>
        <v>0.99999569964878721</v>
      </c>
      <c r="Z123" s="31">
        <f t="shared" si="121"/>
        <v>0</v>
      </c>
      <c r="AA123" s="31">
        <f t="shared" si="156"/>
        <v>0</v>
      </c>
      <c r="AB123" s="35">
        <f>IFERROR((VLOOKUP(A123,AtskaiteStatusuTabula!B:AI,30,0)),0)</f>
        <v>1</v>
      </c>
      <c r="AC123" s="35">
        <v>3813625.6</v>
      </c>
      <c r="AD123" s="31">
        <v>0.99999569964878721</v>
      </c>
      <c r="AE123" s="35">
        <f>IFERROR((VLOOKUP(A123,AtskaiteStatusuTabula!B:AI,31,0)),0)</f>
        <v>3813625.6</v>
      </c>
      <c r="AF123" s="31">
        <f t="shared" si="157"/>
        <v>0.99999569964878721</v>
      </c>
      <c r="AG123" s="31">
        <f t="shared" si="165"/>
        <v>0</v>
      </c>
      <c r="AH123" s="31">
        <f t="shared" si="123"/>
        <v>0</v>
      </c>
      <c r="AI123" s="35">
        <v>3813625.6</v>
      </c>
      <c r="AJ123" s="31">
        <v>0.99999569964878721</v>
      </c>
      <c r="AL123" s="57">
        <f t="shared" si="122"/>
        <v>0</v>
      </c>
    </row>
    <row r="124" spans="1:38" ht="56.25" x14ac:dyDescent="0.3">
      <c r="A124" s="20" t="s">
        <v>328</v>
      </c>
      <c r="B124" s="12" t="str">
        <f>VLOOKUP(A124,saīsinājumi_LV_ENG!A:G,5,FALSE)</f>
        <v>Resocializācijas sistēmas efektivitātes paaugstināšana</v>
      </c>
      <c r="C124" s="11"/>
      <c r="D124" s="40" t="s">
        <v>346</v>
      </c>
      <c r="E124" s="40" t="s">
        <v>353</v>
      </c>
      <c r="F124" s="35">
        <v>4446397</v>
      </c>
      <c r="G124" s="35">
        <v>0</v>
      </c>
      <c r="H124" s="35">
        <f t="shared" si="166"/>
        <v>4446397</v>
      </c>
      <c r="I124" s="35">
        <v>223729</v>
      </c>
      <c r="J124" s="35">
        <f>IFERROR((VLOOKUP(A124,AtskaiteStatusuTabula!B:AI,10,0)),0)</f>
        <v>4446397</v>
      </c>
      <c r="K124" s="31">
        <f t="shared" si="149"/>
        <v>1</v>
      </c>
      <c r="L124" s="31">
        <f t="shared" si="161"/>
        <v>0</v>
      </c>
      <c r="M124" s="31">
        <f t="shared" si="158"/>
        <v>0</v>
      </c>
      <c r="N124" s="35">
        <f>IFERROR((VLOOKUP(A124,AtskaiteStatusuTabula!B:AI,17,0)),0)</f>
        <v>1</v>
      </c>
      <c r="O124" s="35">
        <v>4446397</v>
      </c>
      <c r="P124" s="31">
        <v>1</v>
      </c>
      <c r="Q124" s="35">
        <f>IFERROR((VLOOKUP(A124,AtskaiteStatusuTabula!B:AI,18,0)),0)</f>
        <v>4446397</v>
      </c>
      <c r="R124" s="31">
        <f t="shared" si="162"/>
        <v>1</v>
      </c>
      <c r="S124" s="31">
        <f t="shared" si="163"/>
        <v>0</v>
      </c>
      <c r="T124" s="31">
        <f t="shared" si="154"/>
        <v>0</v>
      </c>
      <c r="U124" s="35">
        <f>IFERROR((VLOOKUP(A124,AtskaiteStatusuTabula!B:AI,23,0)),0)</f>
        <v>1</v>
      </c>
      <c r="V124" s="35">
        <v>4446397</v>
      </c>
      <c r="W124" s="31">
        <v>1</v>
      </c>
      <c r="X124" s="35">
        <f>IFERROR((VLOOKUP(A124,AtskaiteStatusuTabula!B:AI,24,0)),0)</f>
        <v>4446397</v>
      </c>
      <c r="Y124" s="31">
        <f t="shared" si="164"/>
        <v>1</v>
      </c>
      <c r="Z124" s="31">
        <f t="shared" si="121"/>
        <v>0</v>
      </c>
      <c r="AA124" s="31">
        <f t="shared" si="156"/>
        <v>0</v>
      </c>
      <c r="AB124" s="35">
        <f>IFERROR((VLOOKUP(A124,AtskaiteStatusuTabula!B:AI,30,0)),0)</f>
        <v>1</v>
      </c>
      <c r="AC124" s="35">
        <v>4446397</v>
      </c>
      <c r="AD124" s="31">
        <v>1</v>
      </c>
      <c r="AE124" s="35">
        <f>IFERROR((VLOOKUP(A124,AtskaiteStatusuTabula!B:AI,31,0)),0)</f>
        <v>4446397</v>
      </c>
      <c r="AF124" s="31">
        <f t="shared" si="157"/>
        <v>1</v>
      </c>
      <c r="AG124" s="31">
        <f t="shared" si="165"/>
        <v>0</v>
      </c>
      <c r="AH124" s="31">
        <f t="shared" si="123"/>
        <v>0</v>
      </c>
      <c r="AI124" s="35">
        <v>4446397</v>
      </c>
      <c r="AJ124" s="31">
        <v>1</v>
      </c>
      <c r="AL124" s="57">
        <f t="shared" si="122"/>
        <v>0</v>
      </c>
    </row>
    <row r="125" spans="1:38" x14ac:dyDescent="0.3">
      <c r="A125" s="20" t="s">
        <v>329</v>
      </c>
      <c r="B125" s="12" t="str">
        <f>VLOOKUP(A125,saīsinājumi_LV_ENG!A:G,5,FALSE)</f>
        <v>Profesionālā rehabilitācija</v>
      </c>
      <c r="D125" s="40" t="s">
        <v>346</v>
      </c>
      <c r="E125" s="40" t="s">
        <v>351</v>
      </c>
      <c r="F125" s="35">
        <v>1486320</v>
      </c>
      <c r="G125" s="35">
        <v>0</v>
      </c>
      <c r="H125" s="35">
        <f t="shared" si="166"/>
        <v>1486320</v>
      </c>
      <c r="I125" s="35">
        <v>0</v>
      </c>
      <c r="J125" s="35">
        <f>IFERROR((VLOOKUP(A125,AtskaiteStatusuTabula!B:AI,10,0)),0)</f>
        <v>1486319.49</v>
      </c>
      <c r="K125" s="31">
        <f t="shared" si="149"/>
        <v>0.99999965687066039</v>
      </c>
      <c r="L125" s="31">
        <f t="shared" si="161"/>
        <v>0</v>
      </c>
      <c r="M125" s="31">
        <f t="shared" si="158"/>
        <v>0</v>
      </c>
      <c r="N125" s="35">
        <f>IFERROR((VLOOKUP(A125,AtskaiteStatusuTabula!B:AI,17,0)),0)</f>
        <v>1</v>
      </c>
      <c r="O125" s="35">
        <v>1486319.49</v>
      </c>
      <c r="P125" s="31">
        <v>0.99999965687066039</v>
      </c>
      <c r="Q125" s="35">
        <f>IFERROR((VLOOKUP(A125,AtskaiteStatusuTabula!B:AI,18,0)),0)</f>
        <v>1486319.49</v>
      </c>
      <c r="R125" s="31">
        <f t="shared" si="162"/>
        <v>0.99999965687066039</v>
      </c>
      <c r="S125" s="31">
        <f t="shared" si="163"/>
        <v>0</v>
      </c>
      <c r="T125" s="31">
        <f t="shared" si="154"/>
        <v>0</v>
      </c>
      <c r="U125" s="35">
        <f>IFERROR((VLOOKUP(A125,AtskaiteStatusuTabula!B:AI,23,0)),0)</f>
        <v>1</v>
      </c>
      <c r="V125" s="35">
        <v>1486319.49</v>
      </c>
      <c r="W125" s="31">
        <v>0.99999965687066039</v>
      </c>
      <c r="X125" s="35">
        <f>IFERROR((VLOOKUP(A125,AtskaiteStatusuTabula!B:AI,24,0)),0)</f>
        <v>1486319.49</v>
      </c>
      <c r="Y125" s="31">
        <f t="shared" si="164"/>
        <v>0.99999965687066039</v>
      </c>
      <c r="Z125" s="31">
        <f t="shared" si="121"/>
        <v>0</v>
      </c>
      <c r="AA125" s="31">
        <f t="shared" si="156"/>
        <v>0</v>
      </c>
      <c r="AB125" s="35">
        <f>IFERROR((VLOOKUP(A125,AtskaiteStatusuTabula!B:AI,30,0)),0)</f>
        <v>1</v>
      </c>
      <c r="AC125" s="35">
        <v>1486319.49</v>
      </c>
      <c r="AD125" s="31">
        <v>0.99999965687066039</v>
      </c>
      <c r="AE125" s="35">
        <f>IFERROR((VLOOKUP(A125,AtskaiteStatusuTabula!B:AI,31,0)),0)</f>
        <v>1486319.49</v>
      </c>
      <c r="AF125" s="31">
        <f t="shared" si="157"/>
        <v>0.99999965687066039</v>
      </c>
      <c r="AG125" s="31">
        <f t="shared" si="165"/>
        <v>0</v>
      </c>
      <c r="AH125" s="31">
        <f t="shared" si="123"/>
        <v>0</v>
      </c>
      <c r="AI125" s="35">
        <v>1486319.49</v>
      </c>
      <c r="AJ125" s="31">
        <v>0.99999965687066039</v>
      </c>
      <c r="AL125" s="57">
        <f t="shared" si="122"/>
        <v>0</v>
      </c>
    </row>
    <row r="126" spans="1:38" ht="75" x14ac:dyDescent="0.3">
      <c r="A126" s="20" t="s">
        <v>330</v>
      </c>
      <c r="B126" s="12" t="str">
        <f>VLOOKUP(A126,saīsinājumi_LV_ENG!A:G,5,FALSE)</f>
        <v>Funkcionēšanas novērtēšana un tehnisko palīglīdzekļu pieejamības izpēte</v>
      </c>
      <c r="C126" s="470"/>
      <c r="D126" s="40" t="s">
        <v>346</v>
      </c>
      <c r="E126" s="40" t="s">
        <v>351</v>
      </c>
      <c r="F126" s="35">
        <v>974708</v>
      </c>
      <c r="G126" s="35">
        <v>0</v>
      </c>
      <c r="H126" s="35">
        <f>F126+G126</f>
        <v>974708</v>
      </c>
      <c r="I126" s="35">
        <v>0</v>
      </c>
      <c r="J126" s="35">
        <f>IFERROR((VLOOKUP(A126,AtskaiteStatusuTabula!B:AI,10,0)),0)</f>
        <v>974635.41</v>
      </c>
      <c r="K126" s="31">
        <f t="shared" si="149"/>
        <v>0.99992552641406451</v>
      </c>
      <c r="L126" s="31">
        <f t="shared" si="161"/>
        <v>0</v>
      </c>
      <c r="M126" s="31">
        <f t="shared" si="158"/>
        <v>0</v>
      </c>
      <c r="N126" s="35">
        <f>IFERROR((VLOOKUP(A126,AtskaiteStatusuTabula!B:AI,17,0)),0)</f>
        <v>1</v>
      </c>
      <c r="O126" s="35">
        <v>974635.41</v>
      </c>
      <c r="P126" s="31">
        <v>0.99992552641406451</v>
      </c>
      <c r="Q126" s="35">
        <f>IFERROR((VLOOKUP(A126,AtskaiteStatusuTabula!B:AI,18,0)),0)</f>
        <v>974635.41</v>
      </c>
      <c r="R126" s="31">
        <f t="shared" si="162"/>
        <v>0.99992552641406451</v>
      </c>
      <c r="S126" s="31">
        <f t="shared" si="163"/>
        <v>0</v>
      </c>
      <c r="T126" s="31">
        <f t="shared" si="154"/>
        <v>0</v>
      </c>
      <c r="U126" s="35">
        <f>IFERROR((VLOOKUP(A126,AtskaiteStatusuTabula!B:AI,23,0)),0)</f>
        <v>1</v>
      </c>
      <c r="V126" s="35">
        <v>974635.41</v>
      </c>
      <c r="W126" s="31">
        <v>0.99992552641406451</v>
      </c>
      <c r="X126" s="35">
        <f>IFERROR((VLOOKUP(A126,AtskaiteStatusuTabula!B:AI,24,0)),0)</f>
        <v>974635.41</v>
      </c>
      <c r="Y126" s="31">
        <f t="shared" si="164"/>
        <v>0.99992552641406451</v>
      </c>
      <c r="Z126" s="31">
        <f t="shared" si="121"/>
        <v>0</v>
      </c>
      <c r="AA126" s="31">
        <f t="shared" si="156"/>
        <v>0</v>
      </c>
      <c r="AB126" s="35">
        <f>IFERROR((VLOOKUP(A126,AtskaiteStatusuTabula!B:AI,30,0)),0)</f>
        <v>1</v>
      </c>
      <c r="AC126" s="35">
        <v>974635.41</v>
      </c>
      <c r="AD126" s="31">
        <v>0.99992552641406451</v>
      </c>
      <c r="AE126" s="35">
        <f>IFERROR((VLOOKUP(A126,AtskaiteStatusuTabula!B:AI,31,0)),0)</f>
        <v>974635.41</v>
      </c>
      <c r="AF126" s="31">
        <f t="shared" si="157"/>
        <v>0.99992552641406451</v>
      </c>
      <c r="AG126" s="31">
        <f t="shared" si="165"/>
        <v>0</v>
      </c>
      <c r="AH126" s="31">
        <f t="shared" si="123"/>
        <v>0</v>
      </c>
      <c r="AI126" s="35">
        <v>974635.41</v>
      </c>
      <c r="AJ126" s="31">
        <v>0.99992552641406451</v>
      </c>
      <c r="AL126" s="57">
        <f t="shared" si="122"/>
        <v>0</v>
      </c>
    </row>
    <row r="127" spans="1:38" ht="56.25" x14ac:dyDescent="0.3">
      <c r="A127" s="20" t="s">
        <v>331</v>
      </c>
      <c r="B127" s="12" t="str">
        <f>VLOOKUP(A127,saīsinājumi_LV_ENG!A:G,5,FALSE)</f>
        <v>Bērnu invaliditātes noteikšanas sistēmas pilnveide</v>
      </c>
      <c r="D127" s="40" t="s">
        <v>346</v>
      </c>
      <c r="E127" s="40" t="s">
        <v>351</v>
      </c>
      <c r="F127" s="35">
        <v>259298</v>
      </c>
      <c r="G127" s="35">
        <v>0</v>
      </c>
      <c r="H127" s="35">
        <f t="shared" si="166"/>
        <v>259298</v>
      </c>
      <c r="I127" s="35">
        <v>0</v>
      </c>
      <c r="J127" s="35">
        <f>IFERROR((VLOOKUP(A127,AtskaiteStatusuTabula!B:AI,10,0)),0)</f>
        <v>259297.52</v>
      </c>
      <c r="K127" s="31">
        <f t="shared" si="149"/>
        <v>0.9999981488480435</v>
      </c>
      <c r="L127" s="31">
        <f t="shared" si="161"/>
        <v>0</v>
      </c>
      <c r="M127" s="31">
        <f t="shared" si="158"/>
        <v>0</v>
      </c>
      <c r="N127" s="35">
        <f>IFERROR((VLOOKUP(A127,AtskaiteStatusuTabula!B:AI,17,0)),0)</f>
        <v>1</v>
      </c>
      <c r="O127" s="35">
        <v>259297.52</v>
      </c>
      <c r="P127" s="31">
        <v>0.9999981488480435</v>
      </c>
      <c r="Q127" s="35">
        <f>IFERROR((VLOOKUP(A127,AtskaiteStatusuTabula!B:AI,18,0)),0)</f>
        <v>259297.52</v>
      </c>
      <c r="R127" s="31">
        <f t="shared" si="162"/>
        <v>0.9999981488480435</v>
      </c>
      <c r="S127" s="31">
        <f t="shared" si="163"/>
        <v>0</v>
      </c>
      <c r="T127" s="31">
        <f t="shared" si="154"/>
        <v>0</v>
      </c>
      <c r="U127" s="35">
        <f>IFERROR((VLOOKUP(A127,AtskaiteStatusuTabula!B:AI,23,0)),0)</f>
        <v>1</v>
      </c>
      <c r="V127" s="35">
        <v>259297.52</v>
      </c>
      <c r="W127" s="31">
        <v>0.9999981488480435</v>
      </c>
      <c r="X127" s="35">
        <f>IFERROR((VLOOKUP(A127,AtskaiteStatusuTabula!B:AI,24,0)),0)</f>
        <v>259297.52</v>
      </c>
      <c r="Y127" s="31">
        <f t="shared" si="164"/>
        <v>0.9999981488480435</v>
      </c>
      <c r="Z127" s="31">
        <f t="shared" si="121"/>
        <v>0</v>
      </c>
      <c r="AA127" s="31">
        <f t="shared" si="156"/>
        <v>0</v>
      </c>
      <c r="AB127" s="35">
        <f>IFERROR((VLOOKUP(A127,AtskaiteStatusuTabula!B:AI,30,0)),0)</f>
        <v>1</v>
      </c>
      <c r="AC127" s="35">
        <v>259297.52</v>
      </c>
      <c r="AD127" s="31">
        <v>0.9999981488480435</v>
      </c>
      <c r="AE127" s="35">
        <f>IFERROR((VLOOKUP(A127,AtskaiteStatusuTabula!B:AI,31,0)),0)</f>
        <v>259297.52</v>
      </c>
      <c r="AF127" s="31">
        <f t="shared" si="157"/>
        <v>0.9999981488480435</v>
      </c>
      <c r="AG127" s="31">
        <f t="shared" si="165"/>
        <v>0</v>
      </c>
      <c r="AH127" s="31">
        <f t="shared" si="123"/>
        <v>0</v>
      </c>
      <c r="AI127" s="35">
        <v>259297.52</v>
      </c>
      <c r="AJ127" s="31">
        <v>0.9999981488480435</v>
      </c>
      <c r="AL127" s="57">
        <f t="shared" si="122"/>
        <v>0</v>
      </c>
    </row>
    <row r="128" spans="1:38" x14ac:dyDescent="0.3">
      <c r="A128" s="20" t="s">
        <v>332</v>
      </c>
      <c r="B128" s="12" t="str">
        <f>VLOOKUP(A128,saīsinājumi_LV_ENG!A:G,5,FALSE)</f>
        <v>Diskriminācijas novēršana</v>
      </c>
      <c r="C128" s="441" t="s">
        <v>1582</v>
      </c>
      <c r="D128" s="40" t="s">
        <v>346</v>
      </c>
      <c r="E128" s="40" t="s">
        <v>351</v>
      </c>
      <c r="F128" s="98">
        <v>6770468</v>
      </c>
      <c r="G128" s="35">
        <v>0</v>
      </c>
      <c r="H128" s="35">
        <f>F128+G128</f>
        <v>6770468</v>
      </c>
      <c r="I128" s="35">
        <v>0</v>
      </c>
      <c r="J128" s="35">
        <f>IFERROR((VLOOKUP(A128,AtskaiteStatusuTabula!B:AI,10,0)),0)</f>
        <v>6509427.5</v>
      </c>
      <c r="K128" s="31">
        <f t="shared" si="149"/>
        <v>0.9614442458039828</v>
      </c>
      <c r="L128" s="31">
        <f t="shared" si="161"/>
        <v>0</v>
      </c>
      <c r="M128" s="31">
        <f t="shared" si="158"/>
        <v>0</v>
      </c>
      <c r="N128" s="35">
        <f>IFERROR((VLOOKUP(A128,AtskaiteStatusuTabula!B:AI,17,0)),0)</f>
        <v>1</v>
      </c>
      <c r="O128" s="35">
        <v>6509427.5</v>
      </c>
      <c r="P128" s="31">
        <v>0.9614442458039828</v>
      </c>
      <c r="Q128" s="35">
        <f>IFERROR((VLOOKUP(A128,AtskaiteStatusuTabula!B:AI,18,0)),0)</f>
        <v>6509427.5</v>
      </c>
      <c r="R128" s="31">
        <f t="shared" si="162"/>
        <v>0.9614442458039828</v>
      </c>
      <c r="S128" s="31">
        <f t="shared" si="163"/>
        <v>0</v>
      </c>
      <c r="T128" s="31">
        <f t="shared" si="154"/>
        <v>0</v>
      </c>
      <c r="U128" s="35">
        <f>IFERROR((VLOOKUP(A128,AtskaiteStatusuTabula!B:AI,23,0)),0)</f>
        <v>1</v>
      </c>
      <c r="V128" s="35">
        <v>6509427.5</v>
      </c>
      <c r="W128" s="31">
        <v>0.9614442458039828</v>
      </c>
      <c r="X128" s="35">
        <f>IFERROR((VLOOKUP(A128,AtskaiteStatusuTabula!B:AI,24,0)),0)</f>
        <v>6509427.5</v>
      </c>
      <c r="Y128" s="31">
        <f t="shared" si="164"/>
        <v>0.9614442458039828</v>
      </c>
      <c r="Z128" s="31">
        <f t="shared" si="121"/>
        <v>0</v>
      </c>
      <c r="AA128" s="31">
        <f t="shared" si="156"/>
        <v>0</v>
      </c>
      <c r="AB128" s="35">
        <f>IFERROR((VLOOKUP(A128,AtskaiteStatusuTabula!B:AI,30,0)),0)</f>
        <v>1</v>
      </c>
      <c r="AC128" s="35">
        <v>6509427.5</v>
      </c>
      <c r="AD128" s="31">
        <v>0.9614442458039828</v>
      </c>
      <c r="AE128" s="35">
        <f>IFERROR((VLOOKUP(A128,AtskaiteStatusuTabula!B:AI,31,0)),0)</f>
        <v>6509427.5</v>
      </c>
      <c r="AF128" s="31">
        <f t="shared" si="157"/>
        <v>0.9614442458039828</v>
      </c>
      <c r="AG128" s="31">
        <f t="shared" si="165"/>
        <v>0</v>
      </c>
      <c r="AH128" s="31">
        <f t="shared" si="123"/>
        <v>0</v>
      </c>
      <c r="AI128" s="35">
        <v>6509427.5</v>
      </c>
      <c r="AJ128" s="31">
        <v>0.9614442458039828</v>
      </c>
      <c r="AL128" s="57">
        <f t="shared" si="122"/>
        <v>0</v>
      </c>
    </row>
    <row r="129" spans="1:38" ht="37.5" x14ac:dyDescent="0.3">
      <c r="A129" s="20" t="s">
        <v>333</v>
      </c>
      <c r="B129" s="12" t="str">
        <f>VLOOKUP(A129,saīsinājumi_LV_ENG!A:G,5,FALSE)</f>
        <v>Profesionāla sociālā darba attīstība</v>
      </c>
      <c r="C129" s="441" t="s">
        <v>1542</v>
      </c>
      <c r="D129" s="40" t="s">
        <v>346</v>
      </c>
      <c r="E129" s="40" t="s">
        <v>351</v>
      </c>
      <c r="F129" s="35">
        <v>8955085</v>
      </c>
      <c r="G129" s="35">
        <v>0</v>
      </c>
      <c r="H129" s="35">
        <f t="shared" si="166"/>
        <v>8955085</v>
      </c>
      <c r="I129" s="35">
        <v>0</v>
      </c>
      <c r="J129" s="35">
        <f>IFERROR((VLOOKUP(A129,AtskaiteStatusuTabula!B:AI,10,0)),0)</f>
        <v>8826837.9700000007</v>
      </c>
      <c r="K129" s="31">
        <f t="shared" si="149"/>
        <v>0.98567885955298029</v>
      </c>
      <c r="L129" s="31">
        <f t="shared" si="161"/>
        <v>0</v>
      </c>
      <c r="M129" s="31">
        <f t="shared" si="158"/>
        <v>0</v>
      </c>
      <c r="N129" s="35">
        <f>IFERROR((VLOOKUP(A129,AtskaiteStatusuTabula!B:AI,17,0)),0)</f>
        <v>1</v>
      </c>
      <c r="O129" s="35">
        <v>8826837.9700000007</v>
      </c>
      <c r="P129" s="31">
        <v>0.98567885955298029</v>
      </c>
      <c r="Q129" s="35">
        <f>IFERROR((VLOOKUP(A129,AtskaiteStatusuTabula!B:AI,18,0)),0)</f>
        <v>8826837.9700000007</v>
      </c>
      <c r="R129" s="31">
        <f t="shared" si="162"/>
        <v>0.98567885955298029</v>
      </c>
      <c r="S129" s="31">
        <f t="shared" si="163"/>
        <v>0</v>
      </c>
      <c r="T129" s="31">
        <f t="shared" si="154"/>
        <v>0</v>
      </c>
      <c r="U129" s="35">
        <f>IFERROR((VLOOKUP(A129,AtskaiteStatusuTabula!B:AI,23,0)),0)</f>
        <v>1</v>
      </c>
      <c r="V129" s="35">
        <v>8826837.9700000007</v>
      </c>
      <c r="W129" s="31">
        <v>0.98567885955298029</v>
      </c>
      <c r="X129" s="35">
        <f>IFERROR((VLOOKUP(A129,AtskaiteStatusuTabula!B:AI,24,0)),0)</f>
        <v>8826837.9700000007</v>
      </c>
      <c r="Y129" s="31">
        <f t="shared" si="164"/>
        <v>0.98567885955298029</v>
      </c>
      <c r="Z129" s="31">
        <f t="shared" si="121"/>
        <v>0</v>
      </c>
      <c r="AA129" s="31">
        <f t="shared" si="156"/>
        <v>0</v>
      </c>
      <c r="AB129" s="35">
        <f>IFERROR((VLOOKUP(A129,AtskaiteStatusuTabula!B:AI,30,0)),0)</f>
        <v>1</v>
      </c>
      <c r="AC129" s="35">
        <v>8826837.9700000007</v>
      </c>
      <c r="AD129" s="31">
        <v>0.98567885955298029</v>
      </c>
      <c r="AE129" s="35">
        <f>IFERROR((VLOOKUP(A129,AtskaiteStatusuTabula!B:AI,31,0)),0)</f>
        <v>8826837.9700000007</v>
      </c>
      <c r="AF129" s="31">
        <f t="shared" si="157"/>
        <v>0.98567885955298029</v>
      </c>
      <c r="AG129" s="31">
        <f t="shared" si="165"/>
        <v>0</v>
      </c>
      <c r="AH129" s="31">
        <f t="shared" si="123"/>
        <v>0</v>
      </c>
      <c r="AI129" s="35">
        <v>8826837.9700000007</v>
      </c>
      <c r="AJ129" s="31">
        <v>0.98567885955298029</v>
      </c>
      <c r="AL129" s="57">
        <f t="shared" si="122"/>
        <v>0</v>
      </c>
    </row>
    <row r="130" spans="1:38" ht="37.5" x14ac:dyDescent="0.3">
      <c r="A130" s="20" t="s">
        <v>334</v>
      </c>
      <c r="B130" s="12" t="str">
        <f>VLOOKUP(A130,saīsinājumi_LV_ENG!A:G,5,FALSE)</f>
        <v>Iekļaujoša darba tirgus un nabadzības risku pētījumi</v>
      </c>
      <c r="C130" s="441" t="s">
        <v>1542</v>
      </c>
      <c r="D130" s="40" t="s">
        <v>346</v>
      </c>
      <c r="E130" s="40" t="s">
        <v>351</v>
      </c>
      <c r="F130" s="35">
        <v>928452</v>
      </c>
      <c r="G130" s="35">
        <v>0</v>
      </c>
      <c r="H130" s="35">
        <f t="shared" si="166"/>
        <v>928452</v>
      </c>
      <c r="I130" s="35">
        <v>0</v>
      </c>
      <c r="J130" s="35">
        <f>IFERROR((VLOOKUP(A130,AtskaiteStatusuTabula!B:AI,10,0)),0)</f>
        <v>928452</v>
      </c>
      <c r="K130" s="31">
        <f t="shared" si="149"/>
        <v>1</v>
      </c>
      <c r="L130" s="31">
        <f t="shared" si="161"/>
        <v>0</v>
      </c>
      <c r="M130" s="31">
        <f t="shared" si="158"/>
        <v>0</v>
      </c>
      <c r="N130" s="35">
        <f>IFERROR((VLOOKUP(A130,AtskaiteStatusuTabula!B:AI,17,0)),0)</f>
        <v>1</v>
      </c>
      <c r="O130" s="35">
        <v>928452</v>
      </c>
      <c r="P130" s="31">
        <v>1</v>
      </c>
      <c r="Q130" s="35">
        <f>IFERROR((VLOOKUP(A130,AtskaiteStatusuTabula!B:AI,18,0)),0)</f>
        <v>928452</v>
      </c>
      <c r="R130" s="31">
        <f t="shared" si="162"/>
        <v>1</v>
      </c>
      <c r="S130" s="31">
        <f t="shared" si="163"/>
        <v>0</v>
      </c>
      <c r="T130" s="31">
        <f t="shared" si="154"/>
        <v>0</v>
      </c>
      <c r="U130" s="35">
        <f>IFERROR((VLOOKUP(A130,AtskaiteStatusuTabula!B:AI,23,0)),0)</f>
        <v>1</v>
      </c>
      <c r="V130" s="35">
        <v>928452</v>
      </c>
      <c r="W130" s="31">
        <v>1</v>
      </c>
      <c r="X130" s="35">
        <f>IFERROR((VLOOKUP(A130,AtskaiteStatusuTabula!B:AI,24,0)),0)</f>
        <v>928452</v>
      </c>
      <c r="Y130" s="31">
        <f t="shared" si="164"/>
        <v>1</v>
      </c>
      <c r="Z130" s="31">
        <f t="shared" si="121"/>
        <v>0</v>
      </c>
      <c r="AA130" s="31">
        <f t="shared" si="156"/>
        <v>0</v>
      </c>
      <c r="AB130" s="35">
        <f>IFERROR((VLOOKUP(A130,AtskaiteStatusuTabula!B:AI,30,0)),0)</f>
        <v>1</v>
      </c>
      <c r="AC130" s="35">
        <v>928452</v>
      </c>
      <c r="AD130" s="31">
        <v>1</v>
      </c>
      <c r="AE130" s="35">
        <f>IFERROR((VLOOKUP(A130,AtskaiteStatusuTabula!B:AI,31,0)),0)</f>
        <v>928452</v>
      </c>
      <c r="AF130" s="31">
        <f t="shared" si="157"/>
        <v>1</v>
      </c>
      <c r="AG130" s="31">
        <f t="shared" si="165"/>
        <v>0</v>
      </c>
      <c r="AH130" s="31">
        <f t="shared" si="123"/>
        <v>0</v>
      </c>
      <c r="AI130" s="35">
        <v>928452</v>
      </c>
      <c r="AJ130" s="31">
        <v>1</v>
      </c>
      <c r="AL130" s="57">
        <f t="shared" si="122"/>
        <v>0</v>
      </c>
    </row>
    <row r="131" spans="1:38" ht="75" x14ac:dyDescent="0.3">
      <c r="A131" s="20" t="s">
        <v>335</v>
      </c>
      <c r="B131" s="12" t="str">
        <f>VLOOKUP(A131,saīsinājumi_LV_ENG!A:G,5,FALSE)</f>
        <v>Atbalsts speciālistiem darbam ar bērniem ar uzvedības un saskarsmes traucējumiem</v>
      </c>
      <c r="C131" s="468" t="s">
        <v>1573</v>
      </c>
      <c r="D131" s="40" t="s">
        <v>346</v>
      </c>
      <c r="E131" s="40" t="s">
        <v>351</v>
      </c>
      <c r="F131" s="35">
        <v>3326389</v>
      </c>
      <c r="G131" s="35">
        <v>0</v>
      </c>
      <c r="H131" s="35">
        <f t="shared" si="166"/>
        <v>3326389</v>
      </c>
      <c r="I131" s="35">
        <v>0</v>
      </c>
      <c r="J131" s="35">
        <f>IFERROR((VLOOKUP(A131,AtskaiteStatusuTabula!B:AI,10,0)),0)</f>
        <v>3316111.5</v>
      </c>
      <c r="K131" s="31">
        <f t="shared" si="149"/>
        <v>0.99691031325560542</v>
      </c>
      <c r="L131" s="31">
        <f t="shared" si="161"/>
        <v>0</v>
      </c>
      <c r="M131" s="31">
        <f t="shared" si="158"/>
        <v>0</v>
      </c>
      <c r="N131" s="35">
        <f>IFERROR((VLOOKUP(A131,AtskaiteStatusuTabula!B:AI,17,0)),0)</f>
        <v>1</v>
      </c>
      <c r="O131" s="35">
        <v>3316111.5</v>
      </c>
      <c r="P131" s="31">
        <v>0.99691031325560542</v>
      </c>
      <c r="Q131" s="35">
        <f>IFERROR((VLOOKUP(A131,AtskaiteStatusuTabula!B:AI,18,0)),0)</f>
        <v>3316111.5</v>
      </c>
      <c r="R131" s="31">
        <f t="shared" si="162"/>
        <v>0.99691031325560542</v>
      </c>
      <c r="S131" s="31">
        <f t="shared" si="163"/>
        <v>0</v>
      </c>
      <c r="T131" s="31">
        <f t="shared" si="154"/>
        <v>0</v>
      </c>
      <c r="U131" s="35">
        <f>IFERROR((VLOOKUP(A131,AtskaiteStatusuTabula!B:AI,23,0)),0)</f>
        <v>1</v>
      </c>
      <c r="V131" s="35">
        <v>3316111.5</v>
      </c>
      <c r="W131" s="31">
        <v>0.99691031325560542</v>
      </c>
      <c r="X131" s="35">
        <f>IFERROR((VLOOKUP(A131,AtskaiteStatusuTabula!B:AI,24,0)),0)</f>
        <v>3316111.5</v>
      </c>
      <c r="Y131" s="31">
        <f t="shared" si="164"/>
        <v>0.99691031325560542</v>
      </c>
      <c r="Z131" s="31">
        <f t="shared" si="121"/>
        <v>0</v>
      </c>
      <c r="AA131" s="31">
        <f t="shared" si="156"/>
        <v>0</v>
      </c>
      <c r="AB131" s="35">
        <f>IFERROR((VLOOKUP(A131,AtskaiteStatusuTabula!B:AI,30,0)),0)</f>
        <v>1</v>
      </c>
      <c r="AC131" s="35">
        <v>3316111.5</v>
      </c>
      <c r="AD131" s="31">
        <v>0.99691031325560542</v>
      </c>
      <c r="AE131" s="35">
        <f>IFERROR((VLOOKUP(A131,AtskaiteStatusuTabula!B:AI,31,0)),0)</f>
        <v>3316111.51</v>
      </c>
      <c r="AF131" s="31">
        <f t="shared" si="157"/>
        <v>0.99691031626186832</v>
      </c>
      <c r="AG131" s="31">
        <f t="shared" si="165"/>
        <v>0</v>
      </c>
      <c r="AH131" s="31">
        <f t="shared" si="123"/>
        <v>0</v>
      </c>
      <c r="AI131" s="35">
        <v>3316111.51</v>
      </c>
      <c r="AJ131" s="31">
        <v>0.99691031626186832</v>
      </c>
      <c r="AL131" s="57">
        <f t="shared" si="122"/>
        <v>0</v>
      </c>
    </row>
    <row r="132" spans="1:38" x14ac:dyDescent="0.3">
      <c r="A132" s="20" t="s">
        <v>336</v>
      </c>
      <c r="B132" s="12" t="str">
        <f>VLOOKUP(A132,saīsinājumi_LV_ENG!A:G,5,FALSE)</f>
        <v>Deinstitucionalizācija</v>
      </c>
      <c r="C132" s="441"/>
      <c r="D132" s="40" t="s">
        <v>346</v>
      </c>
      <c r="E132" s="40" t="s">
        <v>351</v>
      </c>
      <c r="F132" s="35">
        <v>41907354</v>
      </c>
      <c r="G132" s="35">
        <v>0</v>
      </c>
      <c r="H132" s="35">
        <f>F132+G132</f>
        <v>41907354</v>
      </c>
      <c r="I132" s="35">
        <v>3167387</v>
      </c>
      <c r="J132" s="35">
        <f>IFERROR((VLOOKUP(A132,AtskaiteStatusuTabula!B:AI,10,0)),0)</f>
        <v>41806492.579999998</v>
      </c>
      <c r="K132" s="31">
        <f t="shared" si="149"/>
        <v>0.99759322862521926</v>
      </c>
      <c r="L132" s="31">
        <f t="shared" si="161"/>
        <v>0</v>
      </c>
      <c r="M132" s="31">
        <f t="shared" si="158"/>
        <v>0</v>
      </c>
      <c r="N132" s="35">
        <f>IFERROR((VLOOKUP(A132,AtskaiteStatusuTabula!B:AI,17,0)),0)</f>
        <v>5</v>
      </c>
      <c r="O132" s="35">
        <v>41806492.579999998</v>
      </c>
      <c r="P132" s="31">
        <v>0.99759322862521926</v>
      </c>
      <c r="Q132" s="35">
        <f>IFERROR((VLOOKUP(A132,AtskaiteStatusuTabula!B:AI,18,0)),0)</f>
        <v>41806492.579999998</v>
      </c>
      <c r="R132" s="31">
        <f t="shared" si="162"/>
        <v>0.99759322862521926</v>
      </c>
      <c r="S132" s="31">
        <f t="shared" si="163"/>
        <v>0</v>
      </c>
      <c r="T132" s="31">
        <f t="shared" si="154"/>
        <v>0</v>
      </c>
      <c r="U132" s="35">
        <f>IFERROR((VLOOKUP(A132,AtskaiteStatusuTabula!B:AI,23,0)),0)</f>
        <v>5</v>
      </c>
      <c r="V132" s="35">
        <v>41806492.579999998</v>
      </c>
      <c r="W132" s="31">
        <v>0.99759322862521926</v>
      </c>
      <c r="X132" s="35">
        <f>IFERROR((VLOOKUP(A132,AtskaiteStatusuTabula!B:AI,24,0)),0)</f>
        <v>41806492.579999998</v>
      </c>
      <c r="Y132" s="31">
        <f t="shared" si="164"/>
        <v>0.99759322862521926</v>
      </c>
      <c r="Z132" s="31">
        <f t="shared" si="121"/>
        <v>0</v>
      </c>
      <c r="AA132" s="31">
        <f t="shared" si="156"/>
        <v>0</v>
      </c>
      <c r="AB132" s="35">
        <f>IFERROR((VLOOKUP(A132,AtskaiteStatusuTabula!B:AI,30,0)),0)</f>
        <v>5</v>
      </c>
      <c r="AC132" s="35">
        <v>41806492.579999998</v>
      </c>
      <c r="AD132" s="31">
        <v>0.99759322862521926</v>
      </c>
      <c r="AE132" s="35">
        <f>IFERROR((VLOOKUP(A132,AtskaiteStatusuTabula!B:AI,31,0)),0)</f>
        <v>41806492.579999998</v>
      </c>
      <c r="AF132" s="31">
        <f t="shared" si="157"/>
        <v>0.99759322862521926</v>
      </c>
      <c r="AG132" s="31">
        <f t="shared" si="165"/>
        <v>0</v>
      </c>
      <c r="AH132" s="31">
        <f t="shared" si="123"/>
        <v>0</v>
      </c>
      <c r="AI132" s="35">
        <v>41806492.579999998</v>
      </c>
      <c r="AJ132" s="31">
        <v>0.99759322862521926</v>
      </c>
      <c r="AL132" s="57">
        <f t="shared" si="122"/>
        <v>0</v>
      </c>
    </row>
    <row r="133" spans="1:38" ht="37.5" x14ac:dyDescent="0.3">
      <c r="A133" s="20" t="s">
        <v>337</v>
      </c>
      <c r="B133" s="12" t="str">
        <f>VLOOKUP(A133,saīsinājumi_LV_ENG!A:G,5,FALSE)</f>
        <v>Sociālo pakalpojumu sistēmas pilnveide</v>
      </c>
      <c r="D133" s="40" t="s">
        <v>346</v>
      </c>
      <c r="E133" s="40" t="s">
        <v>351</v>
      </c>
      <c r="F133" s="35">
        <v>4349512</v>
      </c>
      <c r="G133" s="35">
        <v>0</v>
      </c>
      <c r="H133" s="35">
        <f>F133+G133</f>
        <v>4349512</v>
      </c>
      <c r="I133" s="35">
        <v>0</v>
      </c>
      <c r="J133" s="35">
        <f>IFERROR((VLOOKUP(A133,AtskaiteStatusuTabula!B:AI,10,0)),0)</f>
        <v>4269595.83</v>
      </c>
      <c r="K133" s="31">
        <f t="shared" si="149"/>
        <v>0.98162640544502466</v>
      </c>
      <c r="L133" s="31">
        <f t="shared" si="161"/>
        <v>0</v>
      </c>
      <c r="M133" s="31">
        <f t="shared" si="158"/>
        <v>0</v>
      </c>
      <c r="N133" s="35">
        <f>IFERROR((VLOOKUP(A133,AtskaiteStatusuTabula!B:AI,17,0)),0)</f>
        <v>1</v>
      </c>
      <c r="O133" s="35">
        <v>4269595.83</v>
      </c>
      <c r="P133" s="31">
        <v>0.98162640544502466</v>
      </c>
      <c r="Q133" s="35">
        <f>IFERROR((VLOOKUP(A133,AtskaiteStatusuTabula!B:AI,18,0)),0)</f>
        <v>4269595.83</v>
      </c>
      <c r="R133" s="31">
        <f t="shared" si="162"/>
        <v>0.98162640544502466</v>
      </c>
      <c r="S133" s="31">
        <f t="shared" si="163"/>
        <v>0</v>
      </c>
      <c r="T133" s="31">
        <f t="shared" si="154"/>
        <v>0</v>
      </c>
      <c r="U133" s="35">
        <f>IFERROR((VLOOKUP(A133,AtskaiteStatusuTabula!B:AI,23,0)),0)</f>
        <v>1</v>
      </c>
      <c r="V133" s="35">
        <v>4269595.83</v>
      </c>
      <c r="W133" s="31">
        <v>0.98162640544502466</v>
      </c>
      <c r="X133" s="35">
        <f>IFERROR((VLOOKUP(A133,AtskaiteStatusuTabula!B:AI,24,0)),0)</f>
        <v>4269595.83</v>
      </c>
      <c r="Y133" s="31">
        <f t="shared" si="164"/>
        <v>0.98162640544502466</v>
      </c>
      <c r="Z133" s="31">
        <f t="shared" si="121"/>
        <v>0</v>
      </c>
      <c r="AA133" s="31">
        <f t="shared" si="156"/>
        <v>0</v>
      </c>
      <c r="AB133" s="35">
        <f>IFERROR((VLOOKUP(A133,AtskaiteStatusuTabula!B:AI,30,0)),0)</f>
        <v>1</v>
      </c>
      <c r="AC133" s="35">
        <v>4269595.83</v>
      </c>
      <c r="AD133" s="31">
        <v>0.98162640544502466</v>
      </c>
      <c r="AE133" s="35">
        <f>IFERROR((VLOOKUP(A133,AtskaiteStatusuTabula!B:AI,31,0)),0)</f>
        <v>4269595.83</v>
      </c>
      <c r="AF133" s="31">
        <f t="shared" si="157"/>
        <v>0.98162640544502466</v>
      </c>
      <c r="AG133" s="31">
        <f t="shared" si="165"/>
        <v>0</v>
      </c>
      <c r="AH133" s="31">
        <f t="shared" si="123"/>
        <v>0</v>
      </c>
      <c r="AI133" s="35">
        <v>4269595.83</v>
      </c>
      <c r="AJ133" s="31">
        <v>0.98162640544502466</v>
      </c>
      <c r="AL133" s="57">
        <f t="shared" si="122"/>
        <v>0</v>
      </c>
    </row>
    <row r="134" spans="1:38" ht="56.25" x14ac:dyDescent="0.3">
      <c r="A134" s="20" t="s">
        <v>1247</v>
      </c>
      <c r="B134" s="12" t="str">
        <f>VLOOKUP(A134,saīsinājumi_LV_ENG!A:G,5,FALSE)</f>
        <v>Sabiedrībā balstītu sociālo pakalpojumu sniegšana</v>
      </c>
      <c r="C134" s="35"/>
      <c r="D134" s="40" t="s">
        <v>346</v>
      </c>
      <c r="E134" s="40" t="s">
        <v>351</v>
      </c>
      <c r="F134" s="35">
        <v>7295922</v>
      </c>
      <c r="G134" s="35">
        <v>0</v>
      </c>
      <c r="H134" s="35">
        <f>F134+G134</f>
        <v>7295922</v>
      </c>
      <c r="I134" s="35">
        <v>0</v>
      </c>
      <c r="J134" s="35">
        <f>IFERROR((VLOOKUP(A134,AtskaiteStatusuTabula!B:AI,10,0)),0)</f>
        <v>7086200.79</v>
      </c>
      <c r="K134" s="31">
        <f>J134/F134</f>
        <v>0.97125500930519815</v>
      </c>
      <c r="L134" s="31">
        <f t="shared" ref="L134" si="167">K134-P134</f>
        <v>0</v>
      </c>
      <c r="M134" s="31">
        <f t="shared" ref="M134" si="168">IFERROR(((J134-O134)/O134),0)</f>
        <v>0</v>
      </c>
      <c r="N134" s="35">
        <f>IFERROR((VLOOKUP(A134,AtskaiteStatusuTabula!B:AI,17,0)),0)</f>
        <v>55</v>
      </c>
      <c r="O134" s="35">
        <v>7086200.79</v>
      </c>
      <c r="P134" s="31">
        <v>0.97125500930519815</v>
      </c>
      <c r="Q134" s="35">
        <f>IFERROR((VLOOKUP(A134,AtskaiteStatusuTabula!B:AI,18,0)),0)</f>
        <v>7086200.79</v>
      </c>
      <c r="R134" s="31">
        <f t="shared" ref="R134" si="169">Q134/F134</f>
        <v>0.97125500930519815</v>
      </c>
      <c r="S134" s="31">
        <f>R134-W134</f>
        <v>0</v>
      </c>
      <c r="T134" s="31">
        <f t="shared" ref="T134" si="170">IFERROR(((Q134-V134)/V134),0)</f>
        <v>0</v>
      </c>
      <c r="U134" s="35">
        <f>IFERROR((VLOOKUP(A134,AtskaiteStatusuTabula!B:AI,23,0)),0)</f>
        <v>55</v>
      </c>
      <c r="V134" s="35">
        <v>7086200.79</v>
      </c>
      <c r="W134" s="31">
        <v>0.97125500930519815</v>
      </c>
      <c r="X134" s="35">
        <f>IFERROR((VLOOKUP(A134,AtskaiteStatusuTabula!B:AI,24,0)),0)</f>
        <v>7086200.79</v>
      </c>
      <c r="Y134" s="31">
        <f t="shared" ref="Y134" si="171">X134/F134</f>
        <v>0.97125500930519815</v>
      </c>
      <c r="Z134" s="31">
        <f t="shared" ref="Z134" si="172">Y134-AD134</f>
        <v>0</v>
      </c>
      <c r="AA134" s="31">
        <f t="shared" ref="AA134" si="173">IFERROR(((X134-AC134)/AC134),0)</f>
        <v>0</v>
      </c>
      <c r="AB134" s="35">
        <f>IFERROR((VLOOKUP(A134,AtskaiteStatusuTabula!B:AI,30,0)),0)</f>
        <v>55</v>
      </c>
      <c r="AC134" s="35">
        <v>7086200.79</v>
      </c>
      <c r="AD134" s="31">
        <v>0.97125500930519815</v>
      </c>
      <c r="AE134" s="35">
        <f>IFERROR((VLOOKUP(A134,AtskaiteStatusuTabula!B:AI,31,0)),0)</f>
        <v>7086200.79</v>
      </c>
      <c r="AF134" s="31">
        <f t="shared" ref="AF134" si="174">IFERROR((AE134/$F134),0)</f>
        <v>0.97125500930519815</v>
      </c>
      <c r="AG134" s="31">
        <f t="shared" ref="AG134" si="175">AF134-AJ134</f>
        <v>0</v>
      </c>
      <c r="AH134" s="31">
        <f t="shared" ref="AH134" si="176">IFERROR(((AE134-AI134)/AI134),0)</f>
        <v>0</v>
      </c>
      <c r="AI134" s="35">
        <v>7086200.79</v>
      </c>
      <c r="AJ134" s="31">
        <v>0.97125500930519815</v>
      </c>
      <c r="AL134" s="57">
        <f t="shared" si="122"/>
        <v>0</v>
      </c>
    </row>
    <row r="135" spans="1:38" ht="37.5" x14ac:dyDescent="0.3">
      <c r="A135" s="20" t="s">
        <v>338</v>
      </c>
      <c r="B135" s="12" t="str">
        <f>VLOOKUP(A135,saīsinājumi_LV_ENG!A:G,5,FALSE)</f>
        <v>Tīklu attīstības vadlīnijas un kvalitātes  sistēma</v>
      </c>
      <c r="C135" s="323"/>
      <c r="D135" s="40" t="s">
        <v>346</v>
      </c>
      <c r="E135" s="40" t="s">
        <v>352</v>
      </c>
      <c r="F135" s="35">
        <v>4746596</v>
      </c>
      <c r="G135" s="35">
        <v>0</v>
      </c>
      <c r="H135" s="35">
        <f t="shared" si="166"/>
        <v>4746596</v>
      </c>
      <c r="I135" s="35">
        <v>0</v>
      </c>
      <c r="J135" s="35">
        <f>IFERROR((VLOOKUP(A135,AtskaiteStatusuTabula!B:AI,10,0)),0)</f>
        <v>4744870.0599999996</v>
      </c>
      <c r="K135" s="31">
        <f t="shared" si="149"/>
        <v>0.99963638363155394</v>
      </c>
      <c r="L135" s="31">
        <f t="shared" si="161"/>
        <v>0</v>
      </c>
      <c r="M135" s="31">
        <f t="shared" si="158"/>
        <v>0</v>
      </c>
      <c r="N135" s="35">
        <f>IFERROR((VLOOKUP(A135,AtskaiteStatusuTabula!B:AI,17,0)),0)</f>
        <v>1</v>
      </c>
      <c r="O135" s="35">
        <v>4744870.0599999996</v>
      </c>
      <c r="P135" s="31">
        <v>0.99963638363155394</v>
      </c>
      <c r="Q135" s="35">
        <f>IFERROR((VLOOKUP(A135,AtskaiteStatusuTabula!B:AI,18,0)),0)</f>
        <v>4744870.0599999996</v>
      </c>
      <c r="R135" s="31">
        <f t="shared" si="162"/>
        <v>0.99963638363155394</v>
      </c>
      <c r="S135" s="31">
        <f t="shared" si="163"/>
        <v>0</v>
      </c>
      <c r="T135" s="31">
        <f t="shared" si="154"/>
        <v>0</v>
      </c>
      <c r="U135" s="35">
        <f>IFERROR((VLOOKUP(A135,AtskaiteStatusuTabula!B:AI,23,0)),0)</f>
        <v>1</v>
      </c>
      <c r="V135" s="35">
        <v>4744870.0599999996</v>
      </c>
      <c r="W135" s="31">
        <v>0.99963638363155394</v>
      </c>
      <c r="X135" s="35">
        <f>IFERROR((VLOOKUP(A135,AtskaiteStatusuTabula!B:AI,24,0)),0)</f>
        <v>4744870.0599999996</v>
      </c>
      <c r="Y135" s="31">
        <f t="shared" si="164"/>
        <v>0.99963638363155394</v>
      </c>
      <c r="Z135" s="31">
        <f t="shared" si="121"/>
        <v>0</v>
      </c>
      <c r="AA135" s="31">
        <f t="shared" si="156"/>
        <v>0</v>
      </c>
      <c r="AB135" s="35">
        <f>IFERROR((VLOOKUP(A135,AtskaiteStatusuTabula!B:AI,30,0)),0)</f>
        <v>1</v>
      </c>
      <c r="AC135" s="35">
        <v>4744870.0599999996</v>
      </c>
      <c r="AD135" s="31">
        <v>0.99963638363155394</v>
      </c>
      <c r="AE135" s="35">
        <f>IFERROR((VLOOKUP(A135,AtskaiteStatusuTabula!B:AI,31,0)),0)</f>
        <v>4744870.0599999996</v>
      </c>
      <c r="AF135" s="31">
        <f t="shared" si="157"/>
        <v>0.99963638363155394</v>
      </c>
      <c r="AG135" s="31">
        <f t="shared" si="165"/>
        <v>0</v>
      </c>
      <c r="AH135" s="31">
        <f t="shared" si="123"/>
        <v>0</v>
      </c>
      <c r="AI135" s="35">
        <v>4744870.0599999996</v>
      </c>
      <c r="AJ135" s="31">
        <v>0.99963638363155394</v>
      </c>
      <c r="AL135" s="57">
        <f t="shared" si="122"/>
        <v>0</v>
      </c>
    </row>
    <row r="136" spans="1:38" ht="56.25" x14ac:dyDescent="0.3">
      <c r="A136" s="20" t="s">
        <v>339</v>
      </c>
      <c r="B136" s="12" t="str">
        <f>VLOOKUP(A136,saīsinājumi_LV_ENG!A:G,5,FALSE)</f>
        <v>Kompleksā veselības veicināšana un slimību profilakse</v>
      </c>
      <c r="C136" s="323"/>
      <c r="D136" s="40" t="s">
        <v>346</v>
      </c>
      <c r="E136" s="40" t="s">
        <v>352</v>
      </c>
      <c r="F136" s="35">
        <v>10093277</v>
      </c>
      <c r="G136" s="35">
        <v>0</v>
      </c>
      <c r="H136" s="35">
        <f t="shared" si="166"/>
        <v>10093277</v>
      </c>
      <c r="I136" s="35">
        <v>0</v>
      </c>
      <c r="J136" s="35">
        <f>IFERROR((VLOOKUP(A136,AtskaiteStatusuTabula!B:AI,10,0)),0)</f>
        <v>9918589.5700000003</v>
      </c>
      <c r="K136" s="31">
        <f t="shared" si="149"/>
        <v>0.98269269435486617</v>
      </c>
      <c r="L136" s="31">
        <f t="shared" si="161"/>
        <v>0</v>
      </c>
      <c r="M136" s="31">
        <f t="shared" si="158"/>
        <v>0</v>
      </c>
      <c r="N136" s="35">
        <f>IFERROR((VLOOKUP(A136,AtskaiteStatusuTabula!B:AI,17,0)),0)</f>
        <v>1</v>
      </c>
      <c r="O136" s="35">
        <v>9918589.5700000003</v>
      </c>
      <c r="P136" s="31">
        <v>0.98269269435486617</v>
      </c>
      <c r="Q136" s="35">
        <f>IFERROR((VLOOKUP(A136,AtskaiteStatusuTabula!B:AI,18,0)),0)</f>
        <v>9918589.5700000003</v>
      </c>
      <c r="R136" s="31">
        <f t="shared" si="162"/>
        <v>0.98269269435486617</v>
      </c>
      <c r="S136" s="31">
        <f t="shared" si="163"/>
        <v>0</v>
      </c>
      <c r="T136" s="31">
        <f t="shared" si="154"/>
        <v>0</v>
      </c>
      <c r="U136" s="35">
        <f>IFERROR((VLOOKUP(A136,AtskaiteStatusuTabula!B:AI,23,0)),0)</f>
        <v>1</v>
      </c>
      <c r="V136" s="35">
        <v>9918589.5700000003</v>
      </c>
      <c r="W136" s="31">
        <v>0.98269269435486617</v>
      </c>
      <c r="X136" s="35">
        <f>IFERROR((VLOOKUP(A136,AtskaiteStatusuTabula!B:AI,24,0)),0)</f>
        <v>9918589.5700000003</v>
      </c>
      <c r="Y136" s="31">
        <f t="shared" si="164"/>
        <v>0.98269269435486617</v>
      </c>
      <c r="Z136" s="31">
        <f t="shared" si="121"/>
        <v>0</v>
      </c>
      <c r="AA136" s="31">
        <f t="shared" si="156"/>
        <v>0</v>
      </c>
      <c r="AB136" s="35">
        <f>IFERROR((VLOOKUP(A136,AtskaiteStatusuTabula!B:AI,30,0)),0)</f>
        <v>1</v>
      </c>
      <c r="AC136" s="35">
        <v>9918589.5700000003</v>
      </c>
      <c r="AD136" s="31">
        <v>0.98269269435486617</v>
      </c>
      <c r="AE136" s="35">
        <f>IFERROR((VLOOKUP(A136,AtskaiteStatusuTabula!B:AI,31,0)),0)</f>
        <v>9918589.5700000003</v>
      </c>
      <c r="AF136" s="31">
        <f t="shared" si="157"/>
        <v>0.98269269435486617</v>
      </c>
      <c r="AG136" s="31">
        <f t="shared" si="165"/>
        <v>0</v>
      </c>
      <c r="AH136" s="31">
        <f t="shared" si="123"/>
        <v>0</v>
      </c>
      <c r="AI136" s="35">
        <v>9918589.5700000003</v>
      </c>
      <c r="AJ136" s="31">
        <v>0.98269269435486617</v>
      </c>
      <c r="AL136" s="57">
        <f t="shared" si="122"/>
        <v>0</v>
      </c>
    </row>
    <row r="137" spans="1:38" ht="56.25" x14ac:dyDescent="0.3">
      <c r="A137" s="20" t="s">
        <v>340</v>
      </c>
      <c r="B137" s="12" t="str">
        <f>VLOOKUP(A137,saīsinājumi_LV_ENG!A:G,5,FALSE)</f>
        <v>Veselības veicināšana un slimību profilakse pašvaldībās</v>
      </c>
      <c r="C137" s="11"/>
      <c r="D137" s="40" t="s">
        <v>346</v>
      </c>
      <c r="E137" s="40" t="s">
        <v>352</v>
      </c>
      <c r="F137" s="35">
        <v>26756948</v>
      </c>
      <c r="G137" s="35">
        <v>0</v>
      </c>
      <c r="H137" s="35">
        <f t="shared" si="166"/>
        <v>26756948</v>
      </c>
      <c r="I137" s="35">
        <v>0</v>
      </c>
      <c r="J137" s="35">
        <f>IFERROR((VLOOKUP(A137,AtskaiteStatusuTabula!B:AI,10,0)),0)</f>
        <v>26406954.120000001</v>
      </c>
      <c r="K137" s="31">
        <f t="shared" si="149"/>
        <v>0.98691951413890711</v>
      </c>
      <c r="L137" s="31">
        <f t="shared" si="161"/>
        <v>0</v>
      </c>
      <c r="M137" s="31">
        <f t="shared" si="158"/>
        <v>0</v>
      </c>
      <c r="N137" s="35">
        <f>IFERROR((VLOOKUP(A137,AtskaiteStatusuTabula!B:AI,17,0)),0)</f>
        <v>96</v>
      </c>
      <c r="O137" s="35">
        <v>26406954.120000001</v>
      </c>
      <c r="P137" s="31">
        <v>0.98691951413890711</v>
      </c>
      <c r="Q137" s="35">
        <f>IFERROR((VLOOKUP(A137,AtskaiteStatusuTabula!B:AI,18,0)),0)</f>
        <v>26406954.120000001</v>
      </c>
      <c r="R137" s="31">
        <f t="shared" si="162"/>
        <v>0.98691951413890711</v>
      </c>
      <c r="S137" s="31">
        <f t="shared" si="163"/>
        <v>0</v>
      </c>
      <c r="T137" s="31">
        <f t="shared" si="154"/>
        <v>0</v>
      </c>
      <c r="U137" s="35">
        <f>IFERROR((VLOOKUP(A137,AtskaiteStatusuTabula!B:AI,23,0)),0)</f>
        <v>96</v>
      </c>
      <c r="V137" s="35">
        <v>26406954.120000001</v>
      </c>
      <c r="W137" s="31">
        <v>0.98691951413890711</v>
      </c>
      <c r="X137" s="35">
        <f>IFERROR((VLOOKUP(A137,AtskaiteStatusuTabula!B:AI,24,0)),0)</f>
        <v>26406954.120000001</v>
      </c>
      <c r="Y137" s="31">
        <f t="shared" si="164"/>
        <v>0.98691951413890711</v>
      </c>
      <c r="Z137" s="31">
        <f t="shared" si="121"/>
        <v>0</v>
      </c>
      <c r="AA137" s="31">
        <f t="shared" si="156"/>
        <v>0</v>
      </c>
      <c r="AB137" s="35">
        <f>IFERROR((VLOOKUP(A137,AtskaiteStatusuTabula!B:AI,30,0)),0)</f>
        <v>96</v>
      </c>
      <c r="AC137" s="35">
        <v>26406954.120000001</v>
      </c>
      <c r="AD137" s="31">
        <v>0.98691951413890711</v>
      </c>
      <c r="AE137" s="35">
        <f>IFERROR((VLOOKUP(A137,AtskaiteStatusuTabula!B:AI,31,0)),0)</f>
        <v>26401385.370000001</v>
      </c>
      <c r="AF137" s="31">
        <f t="shared" si="157"/>
        <v>0.98671139062646462</v>
      </c>
      <c r="AG137" s="31">
        <f t="shared" si="165"/>
        <v>0</v>
      </c>
      <c r="AH137" s="31">
        <f t="shared" si="123"/>
        <v>0</v>
      </c>
      <c r="AI137" s="35">
        <v>26401385.370000001</v>
      </c>
      <c r="AJ137" s="31">
        <v>0.98671139062646462</v>
      </c>
      <c r="AL137" s="57">
        <f t="shared" si="122"/>
        <v>0</v>
      </c>
    </row>
    <row r="138" spans="1:38" ht="37.5" x14ac:dyDescent="0.3">
      <c r="A138" s="20" t="s">
        <v>341</v>
      </c>
      <c r="B138" s="12" t="str">
        <f>VLOOKUP(A138,saīsinājumi_LV_ENG!A:G,5,FALSE)</f>
        <v>Ārstu un māsu piesaiste darbam reģionos</v>
      </c>
      <c r="C138" s="11"/>
      <c r="D138" s="40" t="s">
        <v>346</v>
      </c>
      <c r="E138" s="40" t="s">
        <v>352</v>
      </c>
      <c r="F138" s="35">
        <v>14534059</v>
      </c>
      <c r="G138" s="35">
        <v>1589796</v>
      </c>
      <c r="H138" s="35">
        <f t="shared" si="166"/>
        <v>16123855</v>
      </c>
      <c r="I138" s="35">
        <v>0</v>
      </c>
      <c r="J138" s="35">
        <f>IFERROR((VLOOKUP(A138,AtskaiteStatusuTabula!B:AI,10,0)),0)</f>
        <v>16123855</v>
      </c>
      <c r="K138" s="31">
        <f t="shared" si="149"/>
        <v>1.1093841713453896</v>
      </c>
      <c r="L138" s="31">
        <f t="shared" si="161"/>
        <v>0</v>
      </c>
      <c r="M138" s="31">
        <f t="shared" si="158"/>
        <v>0</v>
      </c>
      <c r="N138" s="35">
        <f>IFERROR((VLOOKUP(A138,AtskaiteStatusuTabula!B:AI,17,0)),0)</f>
        <v>1</v>
      </c>
      <c r="O138" s="35">
        <v>16123855</v>
      </c>
      <c r="P138" s="31">
        <v>1.1093841713453896</v>
      </c>
      <c r="Q138" s="35">
        <f>IFERROR((VLOOKUP(A138,AtskaiteStatusuTabula!B:AI,18,0)),0)</f>
        <v>16123855</v>
      </c>
      <c r="R138" s="31">
        <f t="shared" si="162"/>
        <v>1.1093841713453896</v>
      </c>
      <c r="S138" s="31">
        <f t="shared" si="163"/>
        <v>0</v>
      </c>
      <c r="T138" s="31">
        <f t="shared" si="154"/>
        <v>0</v>
      </c>
      <c r="U138" s="35">
        <f>IFERROR((VLOOKUP(A138,AtskaiteStatusuTabula!B:AI,23,0)),0)</f>
        <v>1</v>
      </c>
      <c r="V138" s="35">
        <v>16123855</v>
      </c>
      <c r="W138" s="31">
        <v>1.1093841713453896</v>
      </c>
      <c r="X138" s="35">
        <f>IFERROR((VLOOKUP(A138,AtskaiteStatusuTabula!B:AI,24,0)),0)</f>
        <v>16123855</v>
      </c>
      <c r="Y138" s="31">
        <f t="shared" si="164"/>
        <v>1.1093841713453896</v>
      </c>
      <c r="Z138" s="31">
        <f t="shared" si="121"/>
        <v>0</v>
      </c>
      <c r="AA138" s="31">
        <f t="shared" si="156"/>
        <v>0</v>
      </c>
      <c r="AB138" s="35">
        <f>IFERROR((VLOOKUP(A138,AtskaiteStatusuTabula!B:AI,30,0)),0)</f>
        <v>1</v>
      </c>
      <c r="AC138" s="35">
        <v>16123855</v>
      </c>
      <c r="AD138" s="31">
        <v>1.1093841713453896</v>
      </c>
      <c r="AE138" s="35">
        <f>IFERROR((VLOOKUP(A138,AtskaiteStatusuTabula!B:AI,31,0)),0)</f>
        <v>16123855</v>
      </c>
      <c r="AF138" s="31">
        <f t="shared" si="157"/>
        <v>1.1093841713453896</v>
      </c>
      <c r="AG138" s="31">
        <f t="shared" si="165"/>
        <v>0</v>
      </c>
      <c r="AH138" s="31">
        <f t="shared" si="123"/>
        <v>0</v>
      </c>
      <c r="AI138" s="35">
        <v>16123855</v>
      </c>
      <c r="AJ138" s="31">
        <v>1.1093841713453896</v>
      </c>
      <c r="AL138" s="57">
        <f t="shared" si="122"/>
        <v>0</v>
      </c>
    </row>
    <row r="139" spans="1:38" ht="37.5" x14ac:dyDescent="0.3">
      <c r="A139" s="20" t="s">
        <v>342</v>
      </c>
      <c r="B139" s="12" t="str">
        <f>VLOOKUP(A139,saīsinājumi_LV_ENG!A:G,5,FALSE)</f>
        <v>Ārstniecības personu tālākizglītība</v>
      </c>
      <c r="C139" s="11"/>
      <c r="D139" s="40" t="s">
        <v>346</v>
      </c>
      <c r="E139" s="40" t="s">
        <v>352</v>
      </c>
      <c r="F139" s="35">
        <v>11604030</v>
      </c>
      <c r="G139" s="35">
        <v>0</v>
      </c>
      <c r="H139" s="35">
        <f t="shared" si="166"/>
        <v>11604030</v>
      </c>
      <c r="I139" s="35">
        <v>0</v>
      </c>
      <c r="J139" s="35">
        <f>IFERROR((VLOOKUP(A139,AtskaiteStatusuTabula!B:AI,10,0)),0)</f>
        <v>11417287.84</v>
      </c>
      <c r="K139" s="31">
        <f t="shared" si="149"/>
        <v>0.98390712881645426</v>
      </c>
      <c r="L139" s="31">
        <f t="shared" si="161"/>
        <v>0</v>
      </c>
      <c r="M139" s="31">
        <f t="shared" si="158"/>
        <v>0</v>
      </c>
      <c r="N139" s="35">
        <f>IFERROR((VLOOKUP(A139,AtskaiteStatusuTabula!B:AI,17,0)),0)</f>
        <v>1</v>
      </c>
      <c r="O139" s="35">
        <v>11417287.84</v>
      </c>
      <c r="P139" s="31">
        <v>0.98390712881645426</v>
      </c>
      <c r="Q139" s="35">
        <f>IFERROR((VLOOKUP(A139,AtskaiteStatusuTabula!B:AI,18,0)),0)</f>
        <v>11417287.84</v>
      </c>
      <c r="R139" s="31">
        <f t="shared" si="162"/>
        <v>0.98390712881645426</v>
      </c>
      <c r="S139" s="31">
        <f t="shared" si="163"/>
        <v>0</v>
      </c>
      <c r="T139" s="31">
        <f t="shared" si="154"/>
        <v>0</v>
      </c>
      <c r="U139" s="35">
        <f>IFERROR((VLOOKUP(A139,AtskaiteStatusuTabula!B:AI,23,0)),0)</f>
        <v>1</v>
      </c>
      <c r="V139" s="35">
        <v>11417287.84</v>
      </c>
      <c r="W139" s="31">
        <v>0.98390712881645426</v>
      </c>
      <c r="X139" s="35">
        <f>IFERROR((VLOOKUP(A139,AtskaiteStatusuTabula!B:AI,24,0)),0)</f>
        <v>11417287.84</v>
      </c>
      <c r="Y139" s="31">
        <f t="shared" si="164"/>
        <v>0.98390712881645426</v>
      </c>
      <c r="Z139" s="31">
        <f t="shared" si="121"/>
        <v>0</v>
      </c>
      <c r="AA139" s="31">
        <f t="shared" si="156"/>
        <v>0</v>
      </c>
      <c r="AB139" s="35">
        <f>IFERROR((VLOOKUP(A139,AtskaiteStatusuTabula!B:AI,30,0)),0)</f>
        <v>1</v>
      </c>
      <c r="AC139" s="35">
        <v>11417287.84</v>
      </c>
      <c r="AD139" s="31">
        <v>0.98390712881645426</v>
      </c>
      <c r="AE139" s="35">
        <f>IFERROR((VLOOKUP(A139,AtskaiteStatusuTabula!B:AI,31,0)),0)</f>
        <v>11417287.84</v>
      </c>
      <c r="AF139" s="31">
        <f t="shared" si="157"/>
        <v>0.98390712881645426</v>
      </c>
      <c r="AG139" s="31">
        <f t="shared" si="165"/>
        <v>0</v>
      </c>
      <c r="AH139" s="31">
        <f t="shared" si="123"/>
        <v>0</v>
      </c>
      <c r="AI139" s="35">
        <v>11417287.84</v>
      </c>
      <c r="AJ139" s="31">
        <v>0.98390712881645426</v>
      </c>
      <c r="AL139" s="57">
        <f t="shared" si="122"/>
        <v>0</v>
      </c>
    </row>
    <row r="140" spans="1:38" ht="56.25" x14ac:dyDescent="0.3">
      <c r="A140" s="255" t="s">
        <v>1294</v>
      </c>
      <c r="B140" s="12" t="str">
        <f>VLOOKUP(A140,saīsinājumi_LV_ENG!A:G,5,FALSE)</f>
        <v>Ārstniecības personāla piesaiste veselības krīžu novēršanai</v>
      </c>
      <c r="C140" s="11"/>
      <c r="D140" s="40" t="s">
        <v>346</v>
      </c>
      <c r="E140" s="40" t="s">
        <v>352</v>
      </c>
      <c r="F140" s="35">
        <v>2550000</v>
      </c>
      <c r="G140" s="35">
        <v>0</v>
      </c>
      <c r="H140" s="35">
        <f t="shared" ref="H140" si="177">F140+G140</f>
        <v>2550000</v>
      </c>
      <c r="I140" s="35">
        <v>1</v>
      </c>
      <c r="J140" s="439">
        <f>IFERROR((VLOOKUP(A140,AtskaiteStatusuTabula!B:AI,10,0)),0)-J170</f>
        <v>2550000</v>
      </c>
      <c r="K140" s="31">
        <f>IFERROR(J140/F140,0)</f>
        <v>1</v>
      </c>
      <c r="L140" s="31">
        <f t="shared" ref="L140" si="178">K140-P140</f>
        <v>0</v>
      </c>
      <c r="M140" s="31">
        <f t="shared" ref="M140" si="179">IFERROR(((J140-O140)/O140),0)</f>
        <v>0</v>
      </c>
      <c r="N140" s="35">
        <f>IFERROR((VLOOKUP(A140,AtskaiteStatusuTabula!B:AI,17,0)),0)</f>
        <v>1</v>
      </c>
      <c r="O140" s="35">
        <v>2550000</v>
      </c>
      <c r="P140" s="31">
        <v>1</v>
      </c>
      <c r="Q140" s="439">
        <f>IFERROR((VLOOKUP(A140,AtskaiteStatusuTabula!B:AI,18,0)),0)-Q170</f>
        <v>2550000</v>
      </c>
      <c r="R140" s="31">
        <f>IFERROR(Q140/F140,0)</f>
        <v>1</v>
      </c>
      <c r="S140" s="31">
        <f t="shared" ref="S140" si="180">R140-W140</f>
        <v>0</v>
      </c>
      <c r="T140" s="31">
        <f t="shared" ref="T140" si="181">IFERROR(((Q140-V140)/V140),0)</f>
        <v>0</v>
      </c>
      <c r="U140" s="35">
        <f>IFERROR((VLOOKUP(A140,AtskaiteStatusuTabula!B:AI,23,0)),0)</f>
        <v>1</v>
      </c>
      <c r="V140" s="35">
        <v>2550000</v>
      </c>
      <c r="W140" s="31">
        <v>1</v>
      </c>
      <c r="X140" s="439">
        <f>IFERROR((VLOOKUP(A140,AtskaiteStatusuTabula!B:AI,24,0)),0)-X170</f>
        <v>2550000</v>
      </c>
      <c r="Y140" s="31">
        <f>IFERROR(X140/F140,0)</f>
        <v>1</v>
      </c>
      <c r="Z140" s="31">
        <f t="shared" ref="Z140" si="182">Y140-AD140</f>
        <v>0</v>
      </c>
      <c r="AA140" s="31">
        <f t="shared" ref="AA140" si="183">IFERROR(((X140-AC140)/AC140),0)</f>
        <v>0</v>
      </c>
      <c r="AB140" s="35">
        <f>IFERROR((VLOOKUP(A140,AtskaiteStatusuTabula!B:AI,30,0)),0)</f>
        <v>1</v>
      </c>
      <c r="AC140" s="35">
        <v>2550000</v>
      </c>
      <c r="AD140" s="31">
        <v>1</v>
      </c>
      <c r="AE140" s="439">
        <f>IFERROR((VLOOKUP(A140,AtskaiteStatusuTabula!B:AI,31,0)),0)-AE170</f>
        <v>2550000</v>
      </c>
      <c r="AF140" s="31">
        <f t="shared" ref="AF140" si="184">IFERROR((AE140/$F140),0)</f>
        <v>1</v>
      </c>
      <c r="AG140" s="31">
        <f t="shared" ref="AG140" si="185">AF140-AJ140</f>
        <v>0</v>
      </c>
      <c r="AH140" s="31">
        <f t="shared" ref="AH140" si="186">IFERROR(((AE140-AI140)/AI140),0)</f>
        <v>0</v>
      </c>
      <c r="AI140" s="35">
        <v>2550000</v>
      </c>
      <c r="AJ140" s="31">
        <v>1</v>
      </c>
      <c r="AL140" s="57">
        <f t="shared" si="122"/>
        <v>0</v>
      </c>
    </row>
    <row r="141" spans="1:38" ht="37.5" x14ac:dyDescent="0.3">
      <c r="A141" s="20" t="s">
        <v>343</v>
      </c>
      <c r="B141" s="12" t="str">
        <f>VLOOKUP(A141,saīsinājumi_LV_ENG!A:G,5,FALSE)</f>
        <v>Infrastruktūra deinstitucionalizācijai</v>
      </c>
      <c r="C141" s="11"/>
      <c r="D141" s="40" t="s">
        <v>344</v>
      </c>
      <c r="E141" s="40" t="s">
        <v>351</v>
      </c>
      <c r="F141" s="35">
        <v>43101670</v>
      </c>
      <c r="G141" s="35">
        <v>0</v>
      </c>
      <c r="H141" s="35">
        <f>F141+G141</f>
        <v>43101670</v>
      </c>
      <c r="I141" s="35">
        <v>2515517</v>
      </c>
      <c r="J141" s="35">
        <f>IFERROR((VLOOKUP(A141,AtskaiteStatusuTabula!B:AI,10,0)),0)</f>
        <v>40839418.009999998</v>
      </c>
      <c r="K141" s="31">
        <f t="shared" si="149"/>
        <v>0.94751358845260514</v>
      </c>
      <c r="L141" s="31">
        <f t="shared" si="161"/>
        <v>0</v>
      </c>
      <c r="M141" s="31">
        <f t="shared" si="158"/>
        <v>0</v>
      </c>
      <c r="N141" s="35">
        <f>IFERROR((VLOOKUP(A141,AtskaiteStatusuTabula!B:AI,17,0)),0)</f>
        <v>69</v>
      </c>
      <c r="O141" s="35">
        <v>40839418.009999998</v>
      </c>
      <c r="P141" s="31">
        <v>0.94751358845260514</v>
      </c>
      <c r="Q141" s="35">
        <f>IFERROR((VLOOKUP(A141,AtskaiteStatusuTabula!B:AI,18,0)),0)</f>
        <v>40839418.009999998</v>
      </c>
      <c r="R141" s="31">
        <f t="shared" si="162"/>
        <v>0.94751358845260514</v>
      </c>
      <c r="S141" s="31">
        <f t="shared" si="163"/>
        <v>0</v>
      </c>
      <c r="T141" s="31">
        <f t="shared" si="154"/>
        <v>0</v>
      </c>
      <c r="U141" s="35">
        <f>IFERROR((VLOOKUP(A141,AtskaiteStatusuTabula!B:AI,23,0)),0)</f>
        <v>69</v>
      </c>
      <c r="V141" s="35">
        <v>40839418.009999998</v>
      </c>
      <c r="W141" s="31">
        <v>0.94751358845260514</v>
      </c>
      <c r="X141" s="35">
        <f>IFERROR((VLOOKUP(A141,AtskaiteStatusuTabula!B:AI,24,0)),0)</f>
        <v>40839418.009999998</v>
      </c>
      <c r="Y141" s="31">
        <f t="shared" si="164"/>
        <v>0.94751358845260514</v>
      </c>
      <c r="Z141" s="31">
        <f t="shared" si="121"/>
        <v>0</v>
      </c>
      <c r="AA141" s="31">
        <f t="shared" si="156"/>
        <v>0</v>
      </c>
      <c r="AB141" s="35">
        <f>IFERROR((VLOOKUP(A141,AtskaiteStatusuTabula!B:AI,30,0)),0)</f>
        <v>69</v>
      </c>
      <c r="AC141" s="35">
        <v>40839418.009999998</v>
      </c>
      <c r="AD141" s="31">
        <v>0.94751358845260514</v>
      </c>
      <c r="AE141" s="35">
        <f>IFERROR((VLOOKUP(A141,AtskaiteStatusuTabula!B:AI,31,0)),0)</f>
        <v>40833294.07</v>
      </c>
      <c r="AF141" s="31">
        <f t="shared" si="157"/>
        <v>0.94737150718290031</v>
      </c>
      <c r="AG141" s="31">
        <f t="shared" si="165"/>
        <v>0</v>
      </c>
      <c r="AH141" s="31">
        <f t="shared" si="123"/>
        <v>0</v>
      </c>
      <c r="AI141" s="35">
        <v>40833294.07</v>
      </c>
      <c r="AJ141" s="31">
        <v>0.94737150718290031</v>
      </c>
      <c r="AL141" s="57">
        <f t="shared" si="122"/>
        <v>0</v>
      </c>
    </row>
    <row r="142" spans="1:38" ht="56.25" x14ac:dyDescent="0.3">
      <c r="A142" s="20" t="s">
        <v>237</v>
      </c>
      <c r="B142" s="12" t="str">
        <f>VLOOKUP(A142,saīsinājumi_LV_ENG!A:G,5,FALSE)</f>
        <v xml:space="preserve">Infrastruktūra funkcionalitātes novērtēšanai </v>
      </c>
      <c r="C142" s="299"/>
      <c r="D142" s="40" t="s">
        <v>344</v>
      </c>
      <c r="E142" s="40" t="s">
        <v>351</v>
      </c>
      <c r="F142" s="35">
        <v>2113177</v>
      </c>
      <c r="G142" s="35">
        <v>0</v>
      </c>
      <c r="H142" s="35">
        <f>F142+G142</f>
        <v>2113177</v>
      </c>
      <c r="I142" s="35">
        <v>0</v>
      </c>
      <c r="J142" s="35">
        <f>IFERROR((VLOOKUP(A142,AtskaiteStatusuTabula!B:AI,10,0)),0)</f>
        <v>1782086.8</v>
      </c>
      <c r="K142" s="31">
        <f t="shared" si="149"/>
        <v>0.84332112265087122</v>
      </c>
      <c r="L142" s="31">
        <f t="shared" si="161"/>
        <v>0</v>
      </c>
      <c r="M142" s="31">
        <f t="shared" si="158"/>
        <v>0</v>
      </c>
      <c r="N142" s="35">
        <f>IFERROR((VLOOKUP(A142,AtskaiteStatusuTabula!B:AI,17,0)),0)</f>
        <v>1</v>
      </c>
      <c r="O142" s="35">
        <v>1782086.8</v>
      </c>
      <c r="P142" s="31">
        <v>0.84332112265087122</v>
      </c>
      <c r="Q142" s="35">
        <f>IFERROR((VLOOKUP(A142,AtskaiteStatusuTabula!B:AI,18,0)),0)</f>
        <v>1782086.8</v>
      </c>
      <c r="R142" s="31">
        <f t="shared" si="162"/>
        <v>0.84332112265087122</v>
      </c>
      <c r="S142" s="31">
        <f t="shared" si="163"/>
        <v>0</v>
      </c>
      <c r="T142" s="31">
        <f t="shared" si="154"/>
        <v>0</v>
      </c>
      <c r="U142" s="35">
        <f>IFERROR((VLOOKUP(A142,AtskaiteStatusuTabula!B:AI,23,0)),0)</f>
        <v>1</v>
      </c>
      <c r="V142" s="35">
        <v>1782086.8</v>
      </c>
      <c r="W142" s="31">
        <v>0.84332112265087122</v>
      </c>
      <c r="X142" s="35">
        <f>IFERROR((VLOOKUP(A142,AtskaiteStatusuTabula!B:AI,24,0)),0)</f>
        <v>1782086.8</v>
      </c>
      <c r="Y142" s="31">
        <f t="shared" si="164"/>
        <v>0.84332112265087122</v>
      </c>
      <c r="Z142" s="31">
        <f t="shared" si="121"/>
        <v>0</v>
      </c>
      <c r="AA142" s="31">
        <f t="shared" si="156"/>
        <v>0</v>
      </c>
      <c r="AB142" s="35">
        <f>IFERROR((VLOOKUP(A142,AtskaiteStatusuTabula!B:AI,30,0)),0)</f>
        <v>1</v>
      </c>
      <c r="AC142" s="35">
        <v>1782086.8</v>
      </c>
      <c r="AD142" s="31">
        <v>0.84332112265087122</v>
      </c>
      <c r="AE142" s="35">
        <f>IFERROR((VLOOKUP(A142,AtskaiteStatusuTabula!B:AI,31,0)),0)</f>
        <v>1782086.8</v>
      </c>
      <c r="AF142" s="31">
        <f t="shared" si="157"/>
        <v>0.84332112265087122</v>
      </c>
      <c r="AG142" s="31">
        <f t="shared" si="165"/>
        <v>0</v>
      </c>
      <c r="AH142" s="31">
        <f t="shared" si="123"/>
        <v>0</v>
      </c>
      <c r="AI142" s="35">
        <v>1782086.8</v>
      </c>
      <c r="AJ142" s="31">
        <v>0.84332112265087122</v>
      </c>
      <c r="AL142" s="57">
        <f t="shared" si="122"/>
        <v>0</v>
      </c>
    </row>
    <row r="143" spans="1:38" ht="75" x14ac:dyDescent="0.3">
      <c r="A143" s="20" t="s">
        <v>1544</v>
      </c>
      <c r="B143" s="12" t="s">
        <v>1545</v>
      </c>
      <c r="C143" s="11"/>
      <c r="D143" s="40" t="s">
        <v>344</v>
      </c>
      <c r="E143" s="40" t="s">
        <v>351</v>
      </c>
      <c r="F143" s="35">
        <v>480886</v>
      </c>
      <c r="G143" s="35">
        <v>782851</v>
      </c>
      <c r="H143" s="35">
        <f>F143+G143</f>
        <v>1263737</v>
      </c>
      <c r="I143" s="35"/>
      <c r="J143" s="35">
        <f>IFERROR((VLOOKUP(A143,AtskaiteStatusuTabula!B:AI,10,0)),0)</f>
        <v>300615.58</v>
      </c>
      <c r="K143" s="31">
        <f t="shared" ref="K143" si="187">J143/F143</f>
        <v>0.62512857517166232</v>
      </c>
      <c r="L143" s="31">
        <f t="shared" ref="L143" si="188">K143-P143</f>
        <v>0</v>
      </c>
      <c r="M143" s="31">
        <f t="shared" ref="M143" si="189">IFERROR(((J143-O143)/O143),0)</f>
        <v>0</v>
      </c>
      <c r="N143" s="35">
        <f>IFERROR((VLOOKUP(A143,AtskaiteStatusuTabula!B:AI,17,0)),0)</f>
        <v>1</v>
      </c>
      <c r="O143" s="35">
        <v>300615.58</v>
      </c>
      <c r="P143" s="31">
        <v>0.62512857517166232</v>
      </c>
      <c r="Q143" s="35">
        <f>IFERROR((VLOOKUP(A143,AtskaiteStatusuTabula!B:AI,18,0)),0)</f>
        <v>300615.58</v>
      </c>
      <c r="R143" s="31">
        <f t="shared" ref="R143" si="190">Q143/F143</f>
        <v>0.62512857517166232</v>
      </c>
      <c r="S143" s="31">
        <f t="shared" ref="S143" si="191">R143-W143</f>
        <v>0</v>
      </c>
      <c r="T143" s="31">
        <f t="shared" ref="T143" si="192">IFERROR(((Q143-V143)/V143),0)</f>
        <v>0</v>
      </c>
      <c r="U143" s="35">
        <f>IFERROR((VLOOKUP(A143,AtskaiteStatusuTabula!B:AI,23,0)),0)</f>
        <v>1</v>
      </c>
      <c r="V143" s="35">
        <v>300615.58</v>
      </c>
      <c r="W143" s="31">
        <v>0.62512857517166232</v>
      </c>
      <c r="X143" s="35">
        <f>IFERROR((VLOOKUP(A143,AtskaiteStatusuTabula!B:AI,24,0)),0)</f>
        <v>300615.58</v>
      </c>
      <c r="Y143" s="31">
        <f t="shared" ref="Y143" si="193">X143/F143</f>
        <v>0.62512857517166232</v>
      </c>
      <c r="Z143" s="31">
        <f t="shared" ref="Z143" si="194">Y143-AD143</f>
        <v>0</v>
      </c>
      <c r="AA143" s="31">
        <f t="shared" ref="AA143" si="195">IFERROR(((X143-AC143)/AC143),0)</f>
        <v>0</v>
      </c>
      <c r="AB143" s="35">
        <f>IFERROR((VLOOKUP(A143,AtskaiteStatusuTabula!B:AI,30,0)),0)</f>
        <v>1</v>
      </c>
      <c r="AC143" s="35">
        <v>300615.58</v>
      </c>
      <c r="AD143" s="31">
        <v>0.62512857517166232</v>
      </c>
      <c r="AE143" s="35">
        <f>IFERROR((VLOOKUP(A143,AtskaiteStatusuTabula!B:AI,31,0)),0)</f>
        <v>300615.58</v>
      </c>
      <c r="AF143" s="31">
        <f t="shared" ref="AF143" si="196">IFERROR((AE143/$F143),0)</f>
        <v>0.62512857517166232</v>
      </c>
      <c r="AG143" s="31">
        <f t="shared" ref="AG143" si="197">AF143-AJ143</f>
        <v>0</v>
      </c>
      <c r="AH143" s="31">
        <f t="shared" ref="AH143" si="198">IFERROR(((AE143-AI143)/AI143),0)</f>
        <v>0</v>
      </c>
      <c r="AI143" s="421">
        <v>300615.58</v>
      </c>
      <c r="AJ143" s="424">
        <v>0.62512857517166232</v>
      </c>
      <c r="AL143" s="57"/>
    </row>
    <row r="144" spans="1:38" ht="37.5" x14ac:dyDescent="0.3">
      <c r="A144" s="20" t="s">
        <v>236</v>
      </c>
      <c r="B144" s="12" t="str">
        <f>VLOOKUP(A144,saīsinājumi_LV_ENG!A:G,5,FALSE)</f>
        <v>Veselības aprūpes infrastruktūra</v>
      </c>
      <c r="C144" s="11"/>
      <c r="D144" s="40" t="s">
        <v>344</v>
      </c>
      <c r="E144" s="40" t="s">
        <v>352</v>
      </c>
      <c r="F144" s="35">
        <v>220032906</v>
      </c>
      <c r="G144" s="35">
        <v>12940597</v>
      </c>
      <c r="H144" s="35">
        <f>F144+G144</f>
        <v>232973503</v>
      </c>
      <c r="I144" s="35">
        <v>9279588</v>
      </c>
      <c r="J144" s="439">
        <f>IFERROR((VLOOKUP(A144,AtskaiteStatusuTabula!B:AI,10,0)),0)-J164</f>
        <v>197114718.81999999</v>
      </c>
      <c r="K144" s="31">
        <f t="shared" si="149"/>
        <v>0.89584200110505285</v>
      </c>
      <c r="L144" s="31">
        <f t="shared" si="161"/>
        <v>0</v>
      </c>
      <c r="M144" s="31">
        <f t="shared" si="158"/>
        <v>0</v>
      </c>
      <c r="N144" s="439">
        <f>IFERROR((VLOOKUP(A144,AtskaiteStatusuTabula!B:AI,17,0)),0)-N164</f>
        <v>365</v>
      </c>
      <c r="O144" s="35">
        <v>197114718.81999999</v>
      </c>
      <c r="P144" s="31">
        <v>0.89584200110505285</v>
      </c>
      <c r="Q144" s="439">
        <f>IFERROR((VLOOKUP(A144,AtskaiteStatusuTabula!B:AI,18,0)),0)-Q164</f>
        <v>197114718.81999999</v>
      </c>
      <c r="R144" s="31">
        <f t="shared" si="162"/>
        <v>0.89584200110505285</v>
      </c>
      <c r="S144" s="31">
        <f t="shared" si="163"/>
        <v>0</v>
      </c>
      <c r="T144" s="31">
        <f t="shared" si="154"/>
        <v>0</v>
      </c>
      <c r="U144" s="439">
        <f>IFERROR((VLOOKUP(A144,AtskaiteStatusuTabula!B:AI,23,0)),0)-U164</f>
        <v>365</v>
      </c>
      <c r="V144" s="35">
        <v>197114718.81999999</v>
      </c>
      <c r="W144" s="31">
        <v>0.89584200110505285</v>
      </c>
      <c r="X144" s="439">
        <f>IFERROR((VLOOKUP(A144,AtskaiteStatusuTabula!B:AI,24,0)),0)-X164</f>
        <v>197114718.81999999</v>
      </c>
      <c r="Y144" s="31">
        <f t="shared" si="164"/>
        <v>0.89584200110505285</v>
      </c>
      <c r="Z144" s="31">
        <f t="shared" si="121"/>
        <v>0</v>
      </c>
      <c r="AA144" s="31">
        <f t="shared" si="156"/>
        <v>0</v>
      </c>
      <c r="AB144" s="439">
        <f>IFERROR((VLOOKUP(A144,AtskaiteStatusuTabula!B:AI,30,0)),0)-AB164</f>
        <v>365</v>
      </c>
      <c r="AC144" s="35">
        <v>197114718.81999999</v>
      </c>
      <c r="AD144" s="31">
        <v>0.89584200110505285</v>
      </c>
      <c r="AE144" s="439">
        <f>IFERROR((VLOOKUP(A144,AtskaiteStatusuTabula!B:AI,31,0)),0)-AE164</f>
        <v>194331229.94999999</v>
      </c>
      <c r="AF144" s="31">
        <f t="shared" si="157"/>
        <v>0.88319167111304697</v>
      </c>
      <c r="AG144" s="31">
        <f t="shared" si="165"/>
        <v>0</v>
      </c>
      <c r="AH144" s="31">
        <f t="shared" si="123"/>
        <v>0</v>
      </c>
      <c r="AI144" s="35">
        <v>194331229.94999999</v>
      </c>
      <c r="AJ144" s="31">
        <v>0.88319167111304697</v>
      </c>
      <c r="AL144" s="57">
        <f t="shared" ref="AL144:AL170" si="199">IF(X144&gt;(F144+G144),F144+G144-X144,0)</f>
        <v>0</v>
      </c>
    </row>
    <row r="145" spans="1:38" x14ac:dyDescent="0.3">
      <c r="A145" s="21" t="s">
        <v>141</v>
      </c>
      <c r="B145" s="10" t="str">
        <f>VLOOKUP(A145,saīsinājumi_LV_ENG!A:G,5,FALSE)</f>
        <v>ESF tehniskā palīdzība</v>
      </c>
      <c r="C145" s="10"/>
      <c r="D145" s="42"/>
      <c r="E145" s="42"/>
      <c r="F145" s="37">
        <f>SUM(F146:F148)</f>
        <v>21420040</v>
      </c>
      <c r="G145" s="37">
        <f t="shared" ref="G145:I145" si="200">SUM(G146:G148)</f>
        <v>0</v>
      </c>
      <c r="H145" s="37">
        <f>SUM(H146:H148)</f>
        <v>21420040</v>
      </c>
      <c r="I145" s="37">
        <f t="shared" si="200"/>
        <v>0</v>
      </c>
      <c r="J145" s="37">
        <f>SUM(J146:J148)</f>
        <v>20958161.16</v>
      </c>
      <c r="K145" s="33">
        <f t="shared" si="149"/>
        <v>0.97843706921182216</v>
      </c>
      <c r="L145" s="33">
        <f t="shared" si="161"/>
        <v>0</v>
      </c>
      <c r="M145" s="33">
        <f t="shared" si="158"/>
        <v>0</v>
      </c>
      <c r="N145" s="37">
        <f>SUM(N146:N148)</f>
        <v>44</v>
      </c>
      <c r="O145" s="37">
        <v>20958161.16</v>
      </c>
      <c r="P145" s="37">
        <v>0.97843706921182216</v>
      </c>
      <c r="Q145" s="37">
        <f t="shared" ref="Q145" si="201">SUM(Q146:Q148)</f>
        <v>20958161.16</v>
      </c>
      <c r="R145" s="33">
        <f t="shared" si="162"/>
        <v>0.97843706921182216</v>
      </c>
      <c r="S145" s="33">
        <f t="shared" si="163"/>
        <v>0</v>
      </c>
      <c r="T145" s="33">
        <f t="shared" si="154"/>
        <v>0</v>
      </c>
      <c r="U145" s="37">
        <f>SUM(U146:U148)</f>
        <v>44</v>
      </c>
      <c r="V145" s="37">
        <v>20958161.16</v>
      </c>
      <c r="W145" s="37">
        <v>0.97843706921182216</v>
      </c>
      <c r="X145" s="37">
        <f>SUM(X146:X148)</f>
        <v>20958161.16</v>
      </c>
      <c r="Y145" s="33">
        <f t="shared" si="164"/>
        <v>0.97843706921182216</v>
      </c>
      <c r="Z145" s="33">
        <f t="shared" si="121"/>
        <v>0</v>
      </c>
      <c r="AA145" s="33">
        <f t="shared" si="156"/>
        <v>0</v>
      </c>
      <c r="AB145" s="37">
        <f>SUM(AB146:AB148)</f>
        <v>44</v>
      </c>
      <c r="AC145" s="37">
        <v>20958161.16</v>
      </c>
      <c r="AD145" s="37">
        <v>0.97843706921182216</v>
      </c>
      <c r="AE145" s="37">
        <f>SUM(AE146:AE148)</f>
        <v>20958105.09</v>
      </c>
      <c r="AF145" s="33">
        <f t="shared" si="157"/>
        <v>0.97843445156965159</v>
      </c>
      <c r="AG145" s="33">
        <f t="shared" si="165"/>
        <v>0</v>
      </c>
      <c r="AH145" s="33">
        <f t="shared" si="123"/>
        <v>0</v>
      </c>
      <c r="AI145" s="37">
        <v>20958105.09</v>
      </c>
      <c r="AJ145" s="33">
        <v>0.97843445156965159</v>
      </c>
      <c r="AL145" s="57">
        <f t="shared" si="199"/>
        <v>0</v>
      </c>
    </row>
    <row r="146" spans="1:38" ht="37.5" x14ac:dyDescent="0.3">
      <c r="A146" s="20" t="s">
        <v>359</v>
      </c>
      <c r="B146" s="12" t="str">
        <f>VLOOKUP(A146,saīsinājumi_LV_ENG!A:G,5,FALSE)</f>
        <v>TP KP fondu izvērtēšanas kapacitātei</v>
      </c>
      <c r="C146" s="12"/>
      <c r="D146" s="44" t="s">
        <v>346</v>
      </c>
      <c r="E146" s="44" t="s">
        <v>356</v>
      </c>
      <c r="F146" s="35">
        <v>2106322</v>
      </c>
      <c r="G146" s="35">
        <v>0</v>
      </c>
      <c r="H146" s="35">
        <f>F146+G146</f>
        <v>2106322</v>
      </c>
      <c r="I146" s="35">
        <v>0</v>
      </c>
      <c r="J146" s="35">
        <f>IFERROR((VLOOKUP(A146,AtskaiteStatusuTabula!B:AI,10,0)),0)</f>
        <v>2002863.57</v>
      </c>
      <c r="K146" s="31">
        <f>J146/F146</f>
        <v>0.95088194967341177</v>
      </c>
      <c r="L146" s="31">
        <f t="shared" si="161"/>
        <v>0</v>
      </c>
      <c r="M146" s="31">
        <f t="shared" si="158"/>
        <v>0</v>
      </c>
      <c r="N146" s="35">
        <f>IFERROR((VLOOKUP(A146,AtskaiteStatusuTabula!B:AI,17,0)),0)</f>
        <v>2</v>
      </c>
      <c r="O146" s="35">
        <v>2002863.57</v>
      </c>
      <c r="P146" s="34">
        <v>0.95088194967341177</v>
      </c>
      <c r="Q146" s="35">
        <f>IFERROR((VLOOKUP(A146,AtskaiteStatusuTabula!B:AI,18,0)),0)</f>
        <v>2002863.57</v>
      </c>
      <c r="R146" s="31">
        <f t="shared" si="162"/>
        <v>0.95088194967341177</v>
      </c>
      <c r="S146" s="31">
        <f t="shared" si="163"/>
        <v>0</v>
      </c>
      <c r="T146" s="31">
        <f t="shared" si="154"/>
        <v>0</v>
      </c>
      <c r="U146" s="35">
        <f>IFERROR((VLOOKUP(A146,AtskaiteStatusuTabula!B:AI,23,0)),0)</f>
        <v>2</v>
      </c>
      <c r="V146" s="35">
        <v>2002863.57</v>
      </c>
      <c r="W146" s="34">
        <v>0.95088194967341177</v>
      </c>
      <c r="X146" s="35">
        <f>IFERROR((VLOOKUP(A146,AtskaiteStatusuTabula!B:AI,24,0)),0)</f>
        <v>2002863.57</v>
      </c>
      <c r="Y146" s="34">
        <f t="shared" si="164"/>
        <v>0.95088194967341177</v>
      </c>
      <c r="Z146" s="34">
        <f t="shared" ref="Z146:Z152" si="202">Y146-AD146</f>
        <v>0</v>
      </c>
      <c r="AA146" s="34">
        <f t="shared" si="156"/>
        <v>0</v>
      </c>
      <c r="AB146" s="35">
        <f>IFERROR((VLOOKUP(A146,AtskaiteStatusuTabula!B:AI,30,0)),0)</f>
        <v>2</v>
      </c>
      <c r="AC146" s="39">
        <v>2002863.57</v>
      </c>
      <c r="AD146" s="34">
        <v>0.95088194967341177</v>
      </c>
      <c r="AE146" s="35">
        <f>IFERROR((VLOOKUP(A146,AtskaiteStatusuTabula!B:AI,31,0)),0)</f>
        <v>2002863.57</v>
      </c>
      <c r="AF146" s="31">
        <f t="shared" si="157"/>
        <v>0.95088194967341177</v>
      </c>
      <c r="AG146" s="31">
        <f t="shared" si="165"/>
        <v>0</v>
      </c>
      <c r="AH146" s="31">
        <f t="shared" si="123"/>
        <v>0</v>
      </c>
      <c r="AI146" s="35">
        <v>2002863.57</v>
      </c>
      <c r="AJ146" s="34">
        <v>0.95088194967341177</v>
      </c>
      <c r="AL146" s="57">
        <f t="shared" si="199"/>
        <v>0</v>
      </c>
    </row>
    <row r="147" spans="1:38" ht="37.5" x14ac:dyDescent="0.3">
      <c r="A147" s="20" t="s">
        <v>235</v>
      </c>
      <c r="B147" s="12" t="str">
        <f>VLOOKUP(A147,saīsinājumi_LV_ENG!A:G,5,FALSE)</f>
        <v>TP informācijai un komunikācijai</v>
      </c>
      <c r="C147" s="11"/>
      <c r="D147" s="40" t="s">
        <v>346</v>
      </c>
      <c r="E147" s="40" t="s">
        <v>356</v>
      </c>
      <c r="F147" s="35">
        <v>7101751</v>
      </c>
      <c r="G147" s="35">
        <v>0</v>
      </c>
      <c r="H147" s="35">
        <f t="shared" ref="H147:H148" si="203">F147+G147</f>
        <v>7101751</v>
      </c>
      <c r="I147" s="35">
        <v>0</v>
      </c>
      <c r="J147" s="35">
        <f>IFERROR((VLOOKUP(A147,AtskaiteStatusuTabula!B:AI,10,0)),0)</f>
        <v>6892432.8200000003</v>
      </c>
      <c r="K147" s="31">
        <f>J147/F147</f>
        <v>0.9705258351074264</v>
      </c>
      <c r="L147" s="31">
        <f>K147-P147</f>
        <v>0</v>
      </c>
      <c r="M147" s="31">
        <f t="shared" si="158"/>
        <v>0</v>
      </c>
      <c r="N147" s="35">
        <f>IFERROR((VLOOKUP(A147,AtskaiteStatusuTabula!B:AI,17,0)),0)</f>
        <v>22</v>
      </c>
      <c r="O147" s="35">
        <v>6892432.8200000003</v>
      </c>
      <c r="P147" s="31">
        <v>0.9705258351074264</v>
      </c>
      <c r="Q147" s="35">
        <f>IFERROR((VLOOKUP(A147,AtskaiteStatusuTabula!B:AI,18,0)),0)</f>
        <v>6892432.8200000003</v>
      </c>
      <c r="R147" s="31">
        <f t="shared" si="162"/>
        <v>0.9705258351074264</v>
      </c>
      <c r="S147" s="31">
        <f t="shared" si="163"/>
        <v>0</v>
      </c>
      <c r="T147" s="31">
        <f t="shared" si="154"/>
        <v>0</v>
      </c>
      <c r="U147" s="35">
        <f>IFERROR((VLOOKUP(A147,AtskaiteStatusuTabula!B:AI,23,0)),0)</f>
        <v>22</v>
      </c>
      <c r="V147" s="35">
        <v>6892432.8200000003</v>
      </c>
      <c r="W147" s="31">
        <v>0.9705258351074264</v>
      </c>
      <c r="X147" s="35">
        <f>IFERROR((VLOOKUP(A147,AtskaiteStatusuTabula!B:AI,24,0)),0)</f>
        <v>6892432.8200000003</v>
      </c>
      <c r="Y147" s="31">
        <f t="shared" si="164"/>
        <v>0.9705258351074264</v>
      </c>
      <c r="Z147" s="31">
        <f>Y147-AD147</f>
        <v>0</v>
      </c>
      <c r="AA147" s="31">
        <f t="shared" si="156"/>
        <v>0</v>
      </c>
      <c r="AB147" s="35">
        <f>IFERROR((VLOOKUP(A147,AtskaiteStatusuTabula!B:AI,30,0)),0)</f>
        <v>22</v>
      </c>
      <c r="AC147" s="35">
        <v>6892432.8200000003</v>
      </c>
      <c r="AD147" s="31">
        <v>0.9705258351074264</v>
      </c>
      <c r="AE147" s="35">
        <f>IFERROR((VLOOKUP(A147,AtskaiteStatusuTabula!B:AI,31,0)),0)</f>
        <v>6892376.75</v>
      </c>
      <c r="AF147" s="31">
        <f t="shared" si="157"/>
        <v>0.97051793987144863</v>
      </c>
      <c r="AG147" s="31">
        <f t="shared" si="165"/>
        <v>0</v>
      </c>
      <c r="AH147" s="31">
        <f t="shared" ref="AH147:AH152" si="204">IFERROR(((AE147-AI147)/AI147),0)</f>
        <v>0</v>
      </c>
      <c r="AI147" s="35">
        <v>6892376.75</v>
      </c>
      <c r="AJ147" s="31">
        <v>0.97051793987144863</v>
      </c>
      <c r="AL147" s="57">
        <f t="shared" si="199"/>
        <v>0</v>
      </c>
    </row>
    <row r="148" spans="1:38" ht="112.5" x14ac:dyDescent="0.3">
      <c r="A148" s="20" t="s">
        <v>1250</v>
      </c>
      <c r="B148" s="12" t="s">
        <v>1251</v>
      </c>
      <c r="C148" s="11"/>
      <c r="D148" s="40" t="s">
        <v>346</v>
      </c>
      <c r="E148" s="40" t="s">
        <v>356</v>
      </c>
      <c r="F148" s="35">
        <v>12211967</v>
      </c>
      <c r="G148" s="35">
        <v>0</v>
      </c>
      <c r="H148" s="35">
        <f t="shared" si="203"/>
        <v>12211967</v>
      </c>
      <c r="I148" s="35">
        <v>0</v>
      </c>
      <c r="J148" s="35">
        <f>IFERROR((VLOOKUP(A148,AtskaiteStatusuTabula!B:AI,10,0)),0)</f>
        <v>12062864.77</v>
      </c>
      <c r="K148" s="31">
        <f t="shared" ref="K148" si="205">J148/F148</f>
        <v>0.98779048207385423</v>
      </c>
      <c r="L148" s="31">
        <f t="shared" ref="L148" si="206">K148-P148</f>
        <v>0</v>
      </c>
      <c r="M148" s="31">
        <f t="shared" ref="M148" si="207">IFERROR(((J148-O148)/O148),0)</f>
        <v>0</v>
      </c>
      <c r="N148" s="35">
        <f>IFERROR((VLOOKUP(A148,AtskaiteStatusuTabula!B:AI,17,0)),0)</f>
        <v>20</v>
      </c>
      <c r="O148" s="35">
        <v>12062864.77</v>
      </c>
      <c r="P148" s="31">
        <v>0.98779048207385423</v>
      </c>
      <c r="Q148" s="35">
        <f>IFERROR((VLOOKUP(A148,AtskaiteStatusuTabula!B:AI,18,0)),0)</f>
        <v>12062864.77</v>
      </c>
      <c r="R148" s="31">
        <f t="shared" ref="R148" si="208">Q148/F148</f>
        <v>0.98779048207385423</v>
      </c>
      <c r="S148" s="31">
        <f t="shared" ref="S148" si="209">R148-W148</f>
        <v>0</v>
      </c>
      <c r="T148" s="31">
        <f t="shared" ref="T148" si="210">IFERROR(((Q148-V148)/V148),0)</f>
        <v>0</v>
      </c>
      <c r="U148" s="35">
        <f>IFERROR((VLOOKUP(A148,AtskaiteStatusuTabula!B:AI,23,0)),0)</f>
        <v>20</v>
      </c>
      <c r="V148" s="35">
        <v>12062864.77</v>
      </c>
      <c r="W148" s="31">
        <v>0.98779048207385423</v>
      </c>
      <c r="X148" s="35">
        <f>IFERROR((VLOOKUP(A148,AtskaiteStatusuTabula!B:AI,24,0)),0)</f>
        <v>12062864.77</v>
      </c>
      <c r="Y148" s="31">
        <f t="shared" ref="Y148" si="211">X148/F148</f>
        <v>0.98779048207385423</v>
      </c>
      <c r="Z148" s="31">
        <f t="shared" ref="Z148" si="212">Y148-AD148</f>
        <v>0</v>
      </c>
      <c r="AA148" s="31">
        <f t="shared" ref="AA148" si="213">IFERROR(((X148-AC148)/AC148),0)</f>
        <v>0</v>
      </c>
      <c r="AB148" s="35">
        <f>IFERROR((VLOOKUP(A148,AtskaiteStatusuTabula!B:AI,30,0)),0)</f>
        <v>20</v>
      </c>
      <c r="AC148" s="35">
        <v>12062864.77</v>
      </c>
      <c r="AD148" s="31">
        <v>0.98779048207385423</v>
      </c>
      <c r="AE148" s="35">
        <f>IFERROR((VLOOKUP(A148,AtskaiteStatusuTabula!B:AI,31,0)),0)</f>
        <v>12062864.77</v>
      </c>
      <c r="AF148" s="31">
        <f t="shared" ref="AF148" si="214">IFERROR((AE148/$F148),0)</f>
        <v>0.98779048207385423</v>
      </c>
      <c r="AG148" s="31">
        <f t="shared" ref="AG148" si="215">AF148-AJ148</f>
        <v>0</v>
      </c>
      <c r="AH148" s="31">
        <f t="shared" si="204"/>
        <v>0</v>
      </c>
      <c r="AI148" s="35">
        <v>12062864.77</v>
      </c>
      <c r="AJ148" s="31">
        <v>0.98779048207385423</v>
      </c>
      <c r="AL148" s="57">
        <f t="shared" si="199"/>
        <v>0</v>
      </c>
    </row>
    <row r="149" spans="1:38" ht="37.5" x14ac:dyDescent="0.3">
      <c r="A149" s="21" t="s">
        <v>144</v>
      </c>
      <c r="B149" s="10" t="str">
        <f>VLOOKUP(A149,saīsinājumi_LV_ENG!A:G,5,FALSE)</f>
        <v>ERAF tehniskā palīdzība</v>
      </c>
      <c r="C149" s="10"/>
      <c r="D149" s="42"/>
      <c r="E149" s="42"/>
      <c r="F149" s="37">
        <f>SUM(F150)</f>
        <v>39180553</v>
      </c>
      <c r="G149" s="37">
        <f>SUM(G150)</f>
        <v>0</v>
      </c>
      <c r="H149" s="37">
        <f>SUM(H150)</f>
        <v>39180553</v>
      </c>
      <c r="I149" s="37">
        <f>SUM(I150)</f>
        <v>0</v>
      </c>
      <c r="J149" s="37">
        <f>SUM(J150)</f>
        <v>39151081.200000003</v>
      </c>
      <c r="K149" s="33">
        <f t="shared" si="149"/>
        <v>0.99924779520084883</v>
      </c>
      <c r="L149" s="33">
        <f t="shared" si="161"/>
        <v>0</v>
      </c>
      <c r="M149" s="33">
        <f t="shared" si="158"/>
        <v>0</v>
      </c>
      <c r="N149" s="37">
        <f>SUM(N150)</f>
        <v>31</v>
      </c>
      <c r="O149" s="37">
        <v>39151081.200000003</v>
      </c>
      <c r="P149" s="33">
        <v>0.99924779520084883</v>
      </c>
      <c r="Q149" s="37">
        <f>SUM(Q150)</f>
        <v>39151081.200000003</v>
      </c>
      <c r="R149" s="33">
        <f t="shared" si="162"/>
        <v>0.99924779520084883</v>
      </c>
      <c r="S149" s="33">
        <f t="shared" si="163"/>
        <v>0</v>
      </c>
      <c r="T149" s="33">
        <f t="shared" si="154"/>
        <v>0</v>
      </c>
      <c r="U149" s="37">
        <f>SUM(U150)</f>
        <v>31</v>
      </c>
      <c r="V149" s="37">
        <v>39151081.200000003</v>
      </c>
      <c r="W149" s="33">
        <v>0.99924779520084883</v>
      </c>
      <c r="X149" s="37">
        <f>SUM(X150)</f>
        <v>39151081.200000003</v>
      </c>
      <c r="Y149" s="33">
        <f t="shared" si="164"/>
        <v>0.99924779520084883</v>
      </c>
      <c r="Z149" s="33">
        <f t="shared" si="202"/>
        <v>0</v>
      </c>
      <c r="AA149" s="33">
        <f t="shared" si="156"/>
        <v>0</v>
      </c>
      <c r="AB149" s="37">
        <f>SUM(AB150)</f>
        <v>31</v>
      </c>
      <c r="AC149" s="37">
        <v>39151081.200000003</v>
      </c>
      <c r="AD149" s="33">
        <v>0.99924779520084883</v>
      </c>
      <c r="AE149" s="37">
        <f>SUM(AE150)</f>
        <v>39150971.990000002</v>
      </c>
      <c r="AF149" s="33">
        <f t="shared" si="157"/>
        <v>0.99924500784866421</v>
      </c>
      <c r="AG149" s="33">
        <f t="shared" si="165"/>
        <v>0</v>
      </c>
      <c r="AH149" s="33">
        <f t="shared" si="204"/>
        <v>0</v>
      </c>
      <c r="AI149" s="37">
        <v>39150971.990000002</v>
      </c>
      <c r="AJ149" s="33">
        <v>0.99924500784866421</v>
      </c>
      <c r="AL149" s="57">
        <f t="shared" si="199"/>
        <v>0</v>
      </c>
    </row>
    <row r="150" spans="1:38" ht="56.25" x14ac:dyDescent="0.3">
      <c r="A150" s="20" t="s">
        <v>234</v>
      </c>
      <c r="B150" s="12" t="str">
        <f>VLOOKUP(A150,saīsinājumi_LV_ENG!A:G,5,FALSE)</f>
        <v>TP KP fondu plānošanai, ieviešanai, uzraudzībai un kontrolei</v>
      </c>
      <c r="C150" s="11"/>
      <c r="D150" s="40" t="s">
        <v>344</v>
      </c>
      <c r="E150" s="40" t="s">
        <v>356</v>
      </c>
      <c r="F150" s="35">
        <v>39180553</v>
      </c>
      <c r="G150" s="35">
        <v>0</v>
      </c>
      <c r="H150" s="35">
        <f>F150+G150</f>
        <v>39180553</v>
      </c>
      <c r="I150" s="35">
        <v>0</v>
      </c>
      <c r="J150" s="35">
        <f>IFERROR((VLOOKUP(A150,AtskaiteStatusuTabula!B:AI,10,0)),0)</f>
        <v>39151081.200000003</v>
      </c>
      <c r="K150" s="31">
        <f t="shared" si="149"/>
        <v>0.99924779520084883</v>
      </c>
      <c r="L150" s="31">
        <f t="shared" si="161"/>
        <v>0</v>
      </c>
      <c r="M150" s="31">
        <f t="shared" si="158"/>
        <v>0</v>
      </c>
      <c r="N150" s="35">
        <f>IFERROR((VLOOKUP(A150,AtskaiteStatusuTabula!B:AI,17,0)),0)</f>
        <v>31</v>
      </c>
      <c r="O150" s="35">
        <v>39151081.200000003</v>
      </c>
      <c r="P150" s="31">
        <v>0.99924779520084883</v>
      </c>
      <c r="Q150" s="35">
        <f>IFERROR((VLOOKUP(A150,AtskaiteStatusuTabula!B:AI,18,0)),0)</f>
        <v>39151081.200000003</v>
      </c>
      <c r="R150" s="31">
        <f t="shared" si="162"/>
        <v>0.99924779520084883</v>
      </c>
      <c r="S150" s="31">
        <f t="shared" si="163"/>
        <v>0</v>
      </c>
      <c r="T150" s="31">
        <f t="shared" si="154"/>
        <v>0</v>
      </c>
      <c r="U150" s="35">
        <f>IFERROR((VLOOKUP(A150,AtskaiteStatusuTabula!B:AI,23,0)),0)</f>
        <v>31</v>
      </c>
      <c r="V150" s="35">
        <v>39151081.200000003</v>
      </c>
      <c r="W150" s="31">
        <v>0.99924779520084883</v>
      </c>
      <c r="X150" s="35">
        <f>IFERROR((VLOOKUP(A150,AtskaiteStatusuTabula!B:AI,24,0)),0)</f>
        <v>39151081.200000003</v>
      </c>
      <c r="Y150" s="31">
        <f t="shared" si="164"/>
        <v>0.99924779520084883</v>
      </c>
      <c r="Z150" s="31">
        <f t="shared" si="202"/>
        <v>0</v>
      </c>
      <c r="AA150" s="31">
        <f t="shared" si="156"/>
        <v>0</v>
      </c>
      <c r="AB150" s="35">
        <f>IFERROR((VLOOKUP(A150,AtskaiteStatusuTabula!B:AI,30,0)),0)</f>
        <v>31</v>
      </c>
      <c r="AC150" s="35">
        <v>39151081.200000003</v>
      </c>
      <c r="AD150" s="31">
        <v>0.99924779520084883</v>
      </c>
      <c r="AE150" s="35">
        <f>IFERROR((VLOOKUP(A150,AtskaiteStatusuTabula!B:AI,31,0)),0)</f>
        <v>39150971.990000002</v>
      </c>
      <c r="AF150" s="31">
        <f t="shared" si="157"/>
        <v>0.99924500784866421</v>
      </c>
      <c r="AG150" s="31">
        <f t="shared" si="165"/>
        <v>0</v>
      </c>
      <c r="AH150" s="31">
        <f t="shared" si="204"/>
        <v>0</v>
      </c>
      <c r="AI150" s="35">
        <v>39150971.990000002</v>
      </c>
      <c r="AJ150" s="31">
        <v>0.99924500784866421</v>
      </c>
      <c r="AL150" s="57">
        <f t="shared" si="199"/>
        <v>0</v>
      </c>
    </row>
    <row r="151" spans="1:38" x14ac:dyDescent="0.3">
      <c r="A151" s="21" t="s">
        <v>145</v>
      </c>
      <c r="B151" s="10" t="str">
        <f>VLOOKUP(A151,saīsinājumi_LV_ENG!A:G,5,FALSE)</f>
        <v>KF tehniskā palīdzība</v>
      </c>
      <c r="C151" s="10"/>
      <c r="D151" s="42"/>
      <c r="E151" s="42"/>
      <c r="F151" s="37">
        <f>SUM(F152)</f>
        <v>40715710</v>
      </c>
      <c r="G151" s="37">
        <f>SUM(G152)</f>
        <v>0</v>
      </c>
      <c r="H151" s="37">
        <f>SUM(H152)</f>
        <v>40715710</v>
      </c>
      <c r="I151" s="37">
        <f>SUM(I152)</f>
        <v>0</v>
      </c>
      <c r="J151" s="37">
        <f>SUM(J152)</f>
        <v>40697163.219999999</v>
      </c>
      <c r="K151" s="33">
        <f t="shared" si="149"/>
        <v>0.99954448098780546</v>
      </c>
      <c r="L151" s="33">
        <f>K151-P151</f>
        <v>0</v>
      </c>
      <c r="M151" s="33">
        <f>IFERROR(((J151-O151)/O151),0)</f>
        <v>0</v>
      </c>
      <c r="N151" s="37">
        <f>SUM(N152)</f>
        <v>7</v>
      </c>
      <c r="O151" s="37">
        <v>40697163.219999999</v>
      </c>
      <c r="P151" s="33">
        <v>0.99954448098780546</v>
      </c>
      <c r="Q151" s="37">
        <f>SUM(Q152)</f>
        <v>40697163.219999999</v>
      </c>
      <c r="R151" s="33">
        <f t="shared" si="162"/>
        <v>0.99954448098780546</v>
      </c>
      <c r="S151" s="33">
        <f t="shared" si="163"/>
        <v>0</v>
      </c>
      <c r="T151" s="33">
        <f>IFERROR(((Q151-V151)/V151),0)</f>
        <v>0</v>
      </c>
      <c r="U151" s="37">
        <f>SUM(U152)</f>
        <v>7</v>
      </c>
      <c r="V151" s="37">
        <v>40697163.219999999</v>
      </c>
      <c r="W151" s="33">
        <v>0.99954448098780546</v>
      </c>
      <c r="X151" s="37">
        <f>SUM(X152)</f>
        <v>40697163.219999999</v>
      </c>
      <c r="Y151" s="33">
        <f>X151/F151</f>
        <v>0.99954448098780546</v>
      </c>
      <c r="Z151" s="33">
        <f>Y151-AD151</f>
        <v>0</v>
      </c>
      <c r="AA151" s="33">
        <f>IFERROR(((X151-AC151)/AC151),0)</f>
        <v>0</v>
      </c>
      <c r="AB151" s="37">
        <f>SUM(AB152)</f>
        <v>7</v>
      </c>
      <c r="AC151" s="37">
        <v>40697163.219999999</v>
      </c>
      <c r="AD151" s="33">
        <v>0.99954448098780546</v>
      </c>
      <c r="AE151" s="37">
        <f>SUM(AE152)</f>
        <v>40697163.219999999</v>
      </c>
      <c r="AF151" s="33">
        <f>IFERROR((AE151/$F151),0)</f>
        <v>0.99954448098780546</v>
      </c>
      <c r="AG151" s="33">
        <f>AF151-AJ151</f>
        <v>0</v>
      </c>
      <c r="AH151" s="33">
        <f>IFERROR(((AE151-AI151)/AI151),0)</f>
        <v>0</v>
      </c>
      <c r="AI151" s="37">
        <v>40697163.219999999</v>
      </c>
      <c r="AJ151" s="33">
        <v>0.99954448098780546</v>
      </c>
      <c r="AL151" s="57">
        <f t="shared" si="199"/>
        <v>0</v>
      </c>
    </row>
    <row r="152" spans="1:38" ht="75" x14ac:dyDescent="0.3">
      <c r="A152" s="20" t="s">
        <v>233</v>
      </c>
      <c r="B152" s="12" t="str">
        <f>VLOOKUP(A152,saīsinājumi_LV_ENG!A:G,5,FALSE)</f>
        <v>TP KP fondu plānošanai, ieviešanai, uzraudzībai, kontrolei, revīzijai un e-kohēzijai</v>
      </c>
      <c r="C152" s="11"/>
      <c r="D152" s="40" t="s">
        <v>345</v>
      </c>
      <c r="E152" s="40" t="s">
        <v>356</v>
      </c>
      <c r="F152" s="35">
        <v>40715710</v>
      </c>
      <c r="G152" s="35">
        <v>0</v>
      </c>
      <c r="H152" s="35">
        <f>F152+G152</f>
        <v>40715710</v>
      </c>
      <c r="I152" s="35">
        <v>0</v>
      </c>
      <c r="J152" s="35">
        <f>IFERROR((VLOOKUP(A152,AtskaiteStatusuTabula!B:AI,10,0)),0)</f>
        <v>40697163.219999999</v>
      </c>
      <c r="K152" s="31">
        <f t="shared" ref="K152:K164" si="216">J152/F152</f>
        <v>0.99954448098780546</v>
      </c>
      <c r="L152" s="31">
        <f t="shared" si="161"/>
        <v>0</v>
      </c>
      <c r="M152" s="31">
        <f t="shared" si="158"/>
        <v>0</v>
      </c>
      <c r="N152" s="35">
        <f>IFERROR((VLOOKUP(A152,AtskaiteStatusuTabula!B:AI,17,0)),0)</f>
        <v>7</v>
      </c>
      <c r="O152" s="35">
        <v>40697163.219999999</v>
      </c>
      <c r="P152" s="31">
        <v>0.99954448098780546</v>
      </c>
      <c r="Q152" s="35">
        <f>IFERROR((VLOOKUP(A152,AtskaiteStatusuTabula!B:AI,18,0)),0)</f>
        <v>40697163.219999999</v>
      </c>
      <c r="R152" s="31">
        <f t="shared" si="162"/>
        <v>0.99954448098780546</v>
      </c>
      <c r="S152" s="31">
        <f t="shared" si="163"/>
        <v>0</v>
      </c>
      <c r="T152" s="31">
        <f t="shared" si="154"/>
        <v>0</v>
      </c>
      <c r="U152" s="35">
        <f>IFERROR((VLOOKUP(A152,AtskaiteStatusuTabula!B:AI,23,0)),0)</f>
        <v>7</v>
      </c>
      <c r="V152" s="35">
        <v>40697163.219999999</v>
      </c>
      <c r="W152" s="31">
        <v>0.99954448098780546</v>
      </c>
      <c r="X152" s="35">
        <f>IFERROR((VLOOKUP(A152,AtskaiteStatusuTabula!B:AI,24,0)),0)</f>
        <v>40697163.219999999</v>
      </c>
      <c r="Y152" s="31">
        <f t="shared" si="164"/>
        <v>0.99954448098780546</v>
      </c>
      <c r="Z152" s="31">
        <f t="shared" si="202"/>
        <v>0</v>
      </c>
      <c r="AA152" s="31">
        <f t="shared" si="156"/>
        <v>0</v>
      </c>
      <c r="AB152" s="35">
        <f>IFERROR((VLOOKUP(A152,AtskaiteStatusuTabula!B:AI,30,0)),0)</f>
        <v>7</v>
      </c>
      <c r="AC152" s="35">
        <v>40697163.219999999</v>
      </c>
      <c r="AD152" s="31">
        <v>0.99954448098780546</v>
      </c>
      <c r="AE152" s="35">
        <f>IFERROR((VLOOKUP(A152,AtskaiteStatusuTabula!B:AI,31,0)),0)</f>
        <v>40697163.219999999</v>
      </c>
      <c r="AF152" s="31">
        <f t="shared" si="157"/>
        <v>0.99954448098780546</v>
      </c>
      <c r="AG152" s="31">
        <f t="shared" si="165"/>
        <v>0</v>
      </c>
      <c r="AH152" s="31">
        <f t="shared" si="204"/>
        <v>0</v>
      </c>
      <c r="AI152" s="35">
        <v>40697163.219999999</v>
      </c>
      <c r="AJ152" s="31">
        <v>0.99954448098780546</v>
      </c>
      <c r="AL152" s="57">
        <f t="shared" si="199"/>
        <v>0</v>
      </c>
    </row>
    <row r="153" spans="1:38" ht="56.25" x14ac:dyDescent="0.3">
      <c r="A153" s="21" t="s">
        <v>1376</v>
      </c>
      <c r="B153" s="10" t="str">
        <f>VLOOKUP(A153,saīsinājumi_LV_ENG!A:G,5,FALSE)</f>
        <v>Pasākumi Covid-19 pandēmijas seku mazināšanai (ERAF)</v>
      </c>
      <c r="C153" s="10"/>
      <c r="D153" s="42"/>
      <c r="E153" s="42"/>
      <c r="F153" s="37">
        <f>SUM(F154:F165)</f>
        <v>197923434</v>
      </c>
      <c r="G153" s="37">
        <f>SUM(G154:G165)</f>
        <v>1</v>
      </c>
      <c r="H153" s="37">
        <f>SUM(H154:H165)</f>
        <v>197923435</v>
      </c>
      <c r="I153" s="37">
        <f>SUM(I161:I162)</f>
        <v>0</v>
      </c>
      <c r="J153" s="37">
        <f>SUM(J154:J165)</f>
        <v>172648849.45000002</v>
      </c>
      <c r="K153" s="37">
        <f t="shared" si="216"/>
        <v>0.87230120234272013</v>
      </c>
      <c r="L153" s="37">
        <f>K153-P153</f>
        <v>0</v>
      </c>
      <c r="M153" s="37">
        <f>IFERROR(((J153-O153)/O153),0)</f>
        <v>0</v>
      </c>
      <c r="N153" s="37">
        <f>SUM(N154:N165)</f>
        <v>126</v>
      </c>
      <c r="O153" s="37">
        <v>172648849.45000002</v>
      </c>
      <c r="P153" s="37">
        <v>0.87230120234272013</v>
      </c>
      <c r="Q153" s="37">
        <f>SUM(Q154:Q165)</f>
        <v>172648849.45000002</v>
      </c>
      <c r="R153" s="460">
        <f>Q153/F153</f>
        <v>0.87230120234272013</v>
      </c>
      <c r="S153" s="460">
        <f>R153-W153</f>
        <v>0</v>
      </c>
      <c r="T153" s="460">
        <f t="shared" ref="T153:T165" si="217">IFERROR(((Q153-V153)/V153),0)</f>
        <v>0</v>
      </c>
      <c r="U153" s="37">
        <f>SUM(U154:U165)</f>
        <v>126</v>
      </c>
      <c r="V153" s="37">
        <v>172648849.45000002</v>
      </c>
      <c r="W153" s="460">
        <v>0.87230120234272013</v>
      </c>
      <c r="X153" s="37">
        <f>SUM(X154:X165)</f>
        <v>172648849.45000002</v>
      </c>
      <c r="Y153" s="37">
        <f t="shared" ref="Y153:Y166" si="218">X153/F153</f>
        <v>0.87230120234272013</v>
      </c>
      <c r="Z153" s="37">
        <f t="shared" ref="Z153:Z166" si="219">Y153-AD153</f>
        <v>0</v>
      </c>
      <c r="AA153" s="37">
        <f t="shared" ref="AA153:AA166" si="220">IFERROR(((X153-AC153)/AC153),0)</f>
        <v>0</v>
      </c>
      <c r="AB153" s="37">
        <f>SUM(AB154:AB165)</f>
        <v>126</v>
      </c>
      <c r="AC153" s="37">
        <v>172648849.45000002</v>
      </c>
      <c r="AD153" s="37">
        <v>0.87230120234272013</v>
      </c>
      <c r="AE153" s="37">
        <f>SUM(AE154:AE165)</f>
        <v>170369875.22000003</v>
      </c>
      <c r="AF153" s="37">
        <f t="shared" ref="AF153:AF166" si="221">IFERROR((AE153/$F153),0)</f>
        <v>0.86078677889147792</v>
      </c>
      <c r="AG153" s="37">
        <f t="shared" ref="AG153:AG166" si="222">AF153-AJ153</f>
        <v>0</v>
      </c>
      <c r="AH153" s="37">
        <f t="shared" ref="AH153:AH166" si="223">IFERROR(((AE153-AI153)/AI153),0)</f>
        <v>0</v>
      </c>
      <c r="AI153" s="37">
        <v>170369875.22000003</v>
      </c>
      <c r="AJ153" s="33">
        <v>0.86078677889147792</v>
      </c>
      <c r="AL153" s="57">
        <f t="shared" si="199"/>
        <v>0</v>
      </c>
    </row>
    <row r="154" spans="1:38" ht="37.5" x14ac:dyDescent="0.3">
      <c r="A154" s="20" t="s">
        <v>1385</v>
      </c>
      <c r="B154" s="12" t="str">
        <f>VLOOKUP(A154,saīsinājumi_LV_ENG!A:G,5,FALSE)</f>
        <v>Aizdevumi MVK</v>
      </c>
      <c r="C154" s="12" t="s">
        <v>1558</v>
      </c>
      <c r="D154" s="44" t="s">
        <v>1375</v>
      </c>
      <c r="E154" s="40" t="s">
        <v>349</v>
      </c>
      <c r="F154" s="39">
        <f>5950000+15109282</f>
        <v>21059282</v>
      </c>
      <c r="G154" s="35">
        <v>0</v>
      </c>
      <c r="H154" s="35">
        <f t="shared" ref="H154:H165" si="224">F154+G154</f>
        <v>21059282</v>
      </c>
      <c r="I154" s="426"/>
      <c r="J154" s="471">
        <v>21059281.16</v>
      </c>
      <c r="K154" s="31">
        <f t="shared" ref="K154:K161" si="225">J154/F154</f>
        <v>0.99999996011260028</v>
      </c>
      <c r="L154" s="31">
        <f t="shared" ref="L154" si="226">K154-P154</f>
        <v>0</v>
      </c>
      <c r="M154" s="31">
        <f t="shared" ref="M154" si="227">IFERROR(((J154-O154)/O154),0)</f>
        <v>0</v>
      </c>
      <c r="N154" s="35">
        <f>IFERROR((VLOOKUP(A154,AtskaiteStatusuTabula!B:AI,17,0)),0)</f>
        <v>0</v>
      </c>
      <c r="O154" s="35">
        <v>21059281.16</v>
      </c>
      <c r="P154" s="31">
        <v>0.99999996011260028</v>
      </c>
      <c r="Q154" s="471">
        <v>21059281.16</v>
      </c>
      <c r="R154" s="31">
        <f t="shared" ref="R154:R161" si="228">Q154/F154</f>
        <v>0.99999996011260028</v>
      </c>
      <c r="S154" s="31">
        <f t="shared" ref="S154:S161" si="229">R154-W154</f>
        <v>0</v>
      </c>
      <c r="T154" s="31">
        <f t="shared" ref="T154:T161" si="230">IFERROR(((Q154-V154)/V154),0)</f>
        <v>0</v>
      </c>
      <c r="U154" s="35">
        <f>IFERROR((VLOOKUP(A154,AtskaiteStatusuTabula!B:AI,23,0)),0)</f>
        <v>0</v>
      </c>
      <c r="V154" s="35">
        <v>21059281.16</v>
      </c>
      <c r="W154" s="31">
        <v>0.99999996011260028</v>
      </c>
      <c r="X154" s="471">
        <v>21059281.16</v>
      </c>
      <c r="Y154" s="31">
        <f t="shared" ref="Y154:Y161" si="231">X154/F154</f>
        <v>0.99999996011260028</v>
      </c>
      <c r="Z154" s="31">
        <f t="shared" ref="Z154:Z161" si="232">Y154-AD154</f>
        <v>0</v>
      </c>
      <c r="AA154" s="31">
        <f t="shared" ref="AA154:AA161" si="233">IFERROR(((X154-AC154)/AC154),0)</f>
        <v>0</v>
      </c>
      <c r="AB154" s="35">
        <f>IFERROR((VLOOKUP(A154,AtskaiteStatusuTabula!B:AI,30,0)),0)</f>
        <v>0</v>
      </c>
      <c r="AC154" s="35">
        <v>21059281.16</v>
      </c>
      <c r="AD154" s="31">
        <v>0.99999996011260028</v>
      </c>
      <c r="AE154" s="471">
        <f>AtskaiteStatusuTabula!AG54</f>
        <v>21059281.16</v>
      </c>
      <c r="AF154" s="31">
        <f t="shared" ref="AF154:AF161" si="234">IFERROR((AE154/$F154),0)</f>
        <v>0.99999996011260028</v>
      </c>
      <c r="AG154" s="31">
        <f t="shared" ref="AG154:AG161" si="235">AF154-AJ154</f>
        <v>0</v>
      </c>
      <c r="AH154" s="31">
        <f t="shared" ref="AH154:AH161" si="236">IFERROR(((AE154-AI154)/AI154),0)</f>
        <v>0</v>
      </c>
      <c r="AI154" s="35">
        <v>21059281.16</v>
      </c>
      <c r="AJ154" s="31">
        <v>0.99999996011260028</v>
      </c>
      <c r="AL154" s="57">
        <f t="shared" si="199"/>
        <v>0</v>
      </c>
    </row>
    <row r="155" spans="1:38" ht="37.5" x14ac:dyDescent="0.3">
      <c r="A155" s="427" t="s">
        <v>1378</v>
      </c>
      <c r="B155" s="12" t="str">
        <f>VLOOKUP(A155,saīsinājumi_LV_ENG!A:G,5,FALSE)</f>
        <v xml:space="preserve">Daudzdzīvokļu māju energoefektivitāte </v>
      </c>
      <c r="C155" s="3" t="s">
        <v>265</v>
      </c>
      <c r="D155" s="428" t="s">
        <v>1375</v>
      </c>
      <c r="E155" s="425" t="s">
        <v>349</v>
      </c>
      <c r="F155" s="476">
        <v>29482994</v>
      </c>
      <c r="G155" s="35">
        <v>0</v>
      </c>
      <c r="H155" s="35">
        <f t="shared" si="224"/>
        <v>29482994</v>
      </c>
      <c r="J155" s="471">
        <v>29482994</v>
      </c>
      <c r="K155" s="31">
        <f t="shared" si="225"/>
        <v>1</v>
      </c>
      <c r="L155" s="31">
        <f t="shared" ref="L155:L164" si="237">K155-P155</f>
        <v>0</v>
      </c>
      <c r="M155" s="31">
        <f t="shared" ref="M155:M164" si="238">IFERROR(((J155-O155)/O155),0)</f>
        <v>0</v>
      </c>
      <c r="N155" s="148">
        <v>0</v>
      </c>
      <c r="O155" s="35">
        <v>29482994</v>
      </c>
      <c r="P155" s="31">
        <v>1</v>
      </c>
      <c r="Q155" s="471">
        <v>29482994</v>
      </c>
      <c r="R155" s="31">
        <f t="shared" si="228"/>
        <v>1</v>
      </c>
      <c r="S155" s="31">
        <f t="shared" si="229"/>
        <v>0</v>
      </c>
      <c r="T155" s="31">
        <f t="shared" si="230"/>
        <v>0</v>
      </c>
      <c r="U155" s="148">
        <v>0</v>
      </c>
      <c r="V155" s="35">
        <v>29482994</v>
      </c>
      <c r="W155" s="31">
        <v>1</v>
      </c>
      <c r="X155" s="471">
        <v>29482994</v>
      </c>
      <c r="Y155" s="31">
        <f t="shared" si="231"/>
        <v>1</v>
      </c>
      <c r="Z155" s="31">
        <f t="shared" si="232"/>
        <v>0</v>
      </c>
      <c r="AA155" s="31">
        <f t="shared" si="233"/>
        <v>0</v>
      </c>
      <c r="AB155" s="148">
        <v>0</v>
      </c>
      <c r="AC155" s="35">
        <v>29482994</v>
      </c>
      <c r="AD155" s="31">
        <v>1</v>
      </c>
      <c r="AE155" s="471">
        <f>AtskaiteStatusuTabula!AG72</f>
        <v>29269254.850000001</v>
      </c>
      <c r="AF155" s="31">
        <f t="shared" si="234"/>
        <v>0.9927504258895824</v>
      </c>
      <c r="AG155" s="31">
        <f t="shared" si="235"/>
        <v>0</v>
      </c>
      <c r="AH155" s="31">
        <f t="shared" si="236"/>
        <v>0</v>
      </c>
      <c r="AI155" s="35">
        <v>29269254.850000001</v>
      </c>
      <c r="AJ155" s="31">
        <v>0.9927504258895824</v>
      </c>
      <c r="AL155" s="57">
        <f t="shared" si="199"/>
        <v>0</v>
      </c>
    </row>
    <row r="156" spans="1:38" ht="150" x14ac:dyDescent="0.3">
      <c r="A156" s="20" t="s">
        <v>1562</v>
      </c>
      <c r="B156" s="12" t="s">
        <v>1563</v>
      </c>
      <c r="C156" s="296" t="s">
        <v>1570</v>
      </c>
      <c r="D156" s="431" t="s">
        <v>1375</v>
      </c>
      <c r="E156" s="40" t="s">
        <v>349</v>
      </c>
      <c r="F156" s="35">
        <f>3774076+1263557</f>
        <v>5037633</v>
      </c>
      <c r="G156" s="35">
        <v>1</v>
      </c>
      <c r="H156" s="35">
        <f t="shared" ref="H156" si="239">F156+G156</f>
        <v>5037634</v>
      </c>
      <c r="J156" s="148">
        <f>AtskaiteStatusuTabula!L58</f>
        <v>5037633</v>
      </c>
      <c r="K156" s="31">
        <f t="shared" ref="K156" si="240">J156/F156</f>
        <v>1</v>
      </c>
      <c r="L156" s="31">
        <f t="shared" ref="L156" si="241">K156-P156</f>
        <v>0</v>
      </c>
      <c r="M156" s="31">
        <f t="shared" ref="M156" si="242">IFERROR(((J156-O156)/O156),0)</f>
        <v>0</v>
      </c>
      <c r="N156" s="35">
        <f>IFERROR((VLOOKUP(A156,AtskaiteStatusuTabula!B:AI,17,0)),0)</f>
        <v>0</v>
      </c>
      <c r="O156" s="35">
        <v>5037633</v>
      </c>
      <c r="P156" s="31">
        <v>1</v>
      </c>
      <c r="Q156" s="148">
        <f>AtskaiteStatusuTabula!T58</f>
        <v>5037633</v>
      </c>
      <c r="R156" s="31">
        <f t="shared" ref="R156" si="243">Q156/F156</f>
        <v>1</v>
      </c>
      <c r="S156" s="31">
        <f t="shared" ref="S156" si="244">R156-W156</f>
        <v>0</v>
      </c>
      <c r="T156" s="31">
        <f t="shared" ref="T156" si="245">IFERROR(((Q156-V156)/V156),0)</f>
        <v>0</v>
      </c>
      <c r="U156" s="35">
        <f>IFERROR((VLOOKUP(A156,AtskaiteStatusuTabula!B:AI,23,0)),0)</f>
        <v>0</v>
      </c>
      <c r="V156" s="35">
        <v>5037633</v>
      </c>
      <c r="W156" s="31">
        <v>1</v>
      </c>
      <c r="X156" s="148">
        <f>AtskaiteStatusuTabula!Z58</f>
        <v>5037633</v>
      </c>
      <c r="Y156" s="31">
        <f t="shared" ref="Y156" si="246">X156/F156</f>
        <v>1</v>
      </c>
      <c r="Z156" s="31">
        <f t="shared" ref="Z156" si="247">Y156-AD156</f>
        <v>0</v>
      </c>
      <c r="AA156" s="31">
        <f t="shared" ref="AA156" si="248">IFERROR(((X156-AC156)/AC156),0)</f>
        <v>0</v>
      </c>
      <c r="AB156" s="35">
        <f>IFERROR((VLOOKUP(A156,AtskaiteStatusuTabula!B:AI,30,0)),0)</f>
        <v>0</v>
      </c>
      <c r="AC156" s="35">
        <v>5037633</v>
      </c>
      <c r="AD156" s="31">
        <v>1</v>
      </c>
      <c r="AE156" s="148">
        <f>AtskaiteStatusuTabula!AG58</f>
        <v>5019349.8099999996</v>
      </c>
      <c r="AF156" s="31">
        <f>IFERROR((AE156/$F156),0)</f>
        <v>0.99637067845156635</v>
      </c>
      <c r="AG156" s="31">
        <f t="shared" ref="AG156" si="249">AF156-AJ156</f>
        <v>0</v>
      </c>
      <c r="AH156" s="31">
        <f t="shared" ref="AH156" si="250">IFERROR(((AE156-AI156)/AI156),0)</f>
        <v>0</v>
      </c>
      <c r="AI156" s="35">
        <v>5019349.8099999996</v>
      </c>
      <c r="AJ156" s="31">
        <v>0.99637067845156635</v>
      </c>
      <c r="AL156" s="57"/>
    </row>
    <row r="157" spans="1:38" ht="93.75" x14ac:dyDescent="0.3">
      <c r="A157" s="20" t="s">
        <v>1560</v>
      </c>
      <c r="B157" s="12" t="s">
        <v>1561</v>
      </c>
      <c r="C157" s="296" t="s">
        <v>1571</v>
      </c>
      <c r="D157" s="431" t="s">
        <v>1375</v>
      </c>
      <c r="E157" s="40" t="s">
        <v>349</v>
      </c>
      <c r="F157" s="35">
        <v>842372</v>
      </c>
      <c r="G157" s="35">
        <v>0</v>
      </c>
      <c r="H157" s="35">
        <v>842372</v>
      </c>
      <c r="J157" s="148">
        <f>AtskaiteStatusuTabula!L51</f>
        <v>842372</v>
      </c>
      <c r="K157" s="31">
        <f t="shared" ref="K157" si="251">J157/F157</f>
        <v>1</v>
      </c>
      <c r="L157" s="31">
        <f>K157-N157</f>
        <v>1</v>
      </c>
      <c r="M157" s="31">
        <f t="shared" ref="M157" si="252">IFERROR(((J157-O157)/O157),0)</f>
        <v>0</v>
      </c>
      <c r="N157" s="35">
        <f>IFERROR((VLOOKUP(A157,AtskaiteStatusuTabula!B:AI,17,0)),0)</f>
        <v>0</v>
      </c>
      <c r="O157" s="35">
        <v>842372</v>
      </c>
      <c r="P157" s="31">
        <v>1</v>
      </c>
      <c r="Q157" s="148">
        <f>AtskaiteStatusuTabula!T51</f>
        <v>842372</v>
      </c>
      <c r="R157" s="31">
        <f t="shared" ref="R157" si="253">Q157/F157</f>
        <v>1</v>
      </c>
      <c r="S157" s="31">
        <f t="shared" ref="S157" si="254">R157-W157</f>
        <v>0</v>
      </c>
      <c r="T157" s="31">
        <f t="shared" ref="T157" si="255">IFERROR(((Q157-V157)/V157),0)</f>
        <v>0</v>
      </c>
      <c r="U157" s="35">
        <f>IFERROR((VLOOKUP(A157,AtskaiteStatusuTabula!B:AI,23,0)),0)</f>
        <v>0</v>
      </c>
      <c r="V157" s="35">
        <v>842372</v>
      </c>
      <c r="W157" s="31">
        <v>1</v>
      </c>
      <c r="X157" s="148">
        <f>AtskaiteStatusuTabula!Z51</f>
        <v>842372</v>
      </c>
      <c r="Y157" s="31">
        <f t="shared" ref="Y157" si="256">X157/F157</f>
        <v>1</v>
      </c>
      <c r="Z157" s="31">
        <f t="shared" ref="Z157" si="257">Y157-AD157</f>
        <v>0</v>
      </c>
      <c r="AA157" s="31">
        <f t="shared" ref="AA157" si="258">IFERROR(((X157-AC157)/AC157),0)</f>
        <v>0</v>
      </c>
      <c r="AB157" s="35">
        <f>IFERROR((VLOOKUP(A157,AtskaiteStatusuTabula!B:AI,30,0)),0)</f>
        <v>0</v>
      </c>
      <c r="AC157" s="35">
        <v>842372</v>
      </c>
      <c r="AD157" s="31">
        <v>1</v>
      </c>
      <c r="AE157" s="148">
        <f>AtskaiteStatusuTabula!AG51</f>
        <v>500442.8</v>
      </c>
      <c r="AF157" s="31">
        <f>IFERROR((AE157/$F157),0)</f>
        <v>0.59408764773757916</v>
      </c>
      <c r="AG157" s="31">
        <f t="shared" ref="AG157" si="259">AF157-AJ157</f>
        <v>0</v>
      </c>
      <c r="AH157" s="31">
        <f t="shared" ref="AH157" si="260">IFERROR(((AE157-AI157)/AI157),0)</f>
        <v>0</v>
      </c>
      <c r="AI157" s="35">
        <v>500442.8</v>
      </c>
      <c r="AJ157" s="31">
        <v>0.59408764773757916</v>
      </c>
      <c r="AL157" s="57"/>
    </row>
    <row r="158" spans="1:38" ht="56.25" x14ac:dyDescent="0.3">
      <c r="A158" s="20" t="s">
        <v>1386</v>
      </c>
      <c r="B158" s="12" t="s">
        <v>1480</v>
      </c>
      <c r="C158" s="296" t="s">
        <v>1551</v>
      </c>
      <c r="D158" s="431" t="s">
        <v>1375</v>
      </c>
      <c r="E158" s="40" t="s">
        <v>348</v>
      </c>
      <c r="F158" s="35">
        <v>6741442</v>
      </c>
      <c r="G158" s="35">
        <v>0</v>
      </c>
      <c r="H158" s="35">
        <f>F158+G158</f>
        <v>6741442</v>
      </c>
      <c r="J158" s="148">
        <f>AtskaiteStatusuTabula!L24</f>
        <v>6665621.9199999999</v>
      </c>
      <c r="K158" s="31">
        <f t="shared" si="225"/>
        <v>0.98875313619845728</v>
      </c>
      <c r="L158" s="31">
        <f t="shared" ref="L158" si="261">K158-P158</f>
        <v>0</v>
      </c>
      <c r="M158" s="31">
        <f t="shared" ref="M158" si="262">IFERROR(((J158-O158)/O158),0)</f>
        <v>0</v>
      </c>
      <c r="N158" s="148">
        <f>AB158</f>
        <v>16</v>
      </c>
      <c r="O158" s="35">
        <v>6665621.9199999999</v>
      </c>
      <c r="P158" s="31">
        <v>0.98875313619845728</v>
      </c>
      <c r="Q158" s="148">
        <f>AtskaiteStatusuTabula!T24</f>
        <v>6665621.9199999999</v>
      </c>
      <c r="R158" s="31">
        <f t="shared" ref="R158" si="263">Q158/F158</f>
        <v>0.98875313619845728</v>
      </c>
      <c r="S158" s="31">
        <f t="shared" si="229"/>
        <v>0</v>
      </c>
      <c r="T158" s="31">
        <f t="shared" si="230"/>
        <v>0</v>
      </c>
      <c r="U158" s="148">
        <f>AB158</f>
        <v>16</v>
      </c>
      <c r="V158" s="35">
        <v>6665621.9199999999</v>
      </c>
      <c r="W158" s="31">
        <v>0.98875313619845728</v>
      </c>
      <c r="X158" s="148">
        <f>AtskaiteStatusuTabula!Z24</f>
        <v>6665621.9199999999</v>
      </c>
      <c r="Y158" s="31">
        <f t="shared" si="231"/>
        <v>0.98875313619845728</v>
      </c>
      <c r="Z158" s="31">
        <f t="shared" si="232"/>
        <v>0</v>
      </c>
      <c r="AA158" s="31">
        <f t="shared" si="233"/>
        <v>0</v>
      </c>
      <c r="AB158" s="148">
        <v>16</v>
      </c>
      <c r="AC158" s="35">
        <v>6665621.9199999999</v>
      </c>
      <c r="AD158" s="31">
        <v>0.98875313619845728</v>
      </c>
      <c r="AE158" s="148">
        <f>AtskaiteStatusuTabula!AG24</f>
        <v>6665621.9199999999</v>
      </c>
      <c r="AF158" s="31">
        <f t="shared" si="234"/>
        <v>0.98875313619845728</v>
      </c>
      <c r="AG158" s="31">
        <f t="shared" si="235"/>
        <v>0</v>
      </c>
      <c r="AH158" s="31">
        <f t="shared" si="236"/>
        <v>0</v>
      </c>
      <c r="AI158" s="35">
        <v>6665621.9199999999</v>
      </c>
      <c r="AJ158" s="31">
        <v>0.98875313619845728</v>
      </c>
      <c r="AL158" s="57"/>
    </row>
    <row r="159" spans="1:38" ht="37.5" x14ac:dyDescent="0.3">
      <c r="A159" s="20" t="s">
        <v>1387</v>
      </c>
      <c r="B159" s="12" t="str">
        <f>VLOOKUP(A159,saīsinājumi_LV_ENG!A:G,5,FALSE)</f>
        <v>Izglītības iestāžu digitalizācija</v>
      </c>
      <c r="C159" s="296" t="s">
        <v>445</v>
      </c>
      <c r="D159" s="40" t="s">
        <v>344</v>
      </c>
      <c r="E159" s="40" t="s">
        <v>348</v>
      </c>
      <c r="F159" s="35">
        <v>493576</v>
      </c>
      <c r="G159" s="35">
        <v>0</v>
      </c>
      <c r="H159" s="35">
        <f t="shared" si="224"/>
        <v>493576</v>
      </c>
      <c r="J159" s="35">
        <f>IFERROR((VLOOKUP(A159,AtskaiteStatusuTabula!B:AI,10,0)),0)</f>
        <v>0</v>
      </c>
      <c r="K159" s="31">
        <f t="shared" si="225"/>
        <v>0</v>
      </c>
      <c r="L159" s="31">
        <f t="shared" si="237"/>
        <v>0</v>
      </c>
      <c r="M159" s="31">
        <f t="shared" si="238"/>
        <v>0</v>
      </c>
      <c r="N159" s="35">
        <f>IFERROR((VLOOKUP(A159,AtskaiteStatusuTabula!B:AI,17,0)),0)</f>
        <v>0</v>
      </c>
      <c r="O159" s="35">
        <v>0</v>
      </c>
      <c r="P159" s="31">
        <v>0</v>
      </c>
      <c r="Q159" s="35">
        <f>IFERROR((VLOOKUP(A159,AtskaiteStatusuTabula!B:AI,18,0)),0)</f>
        <v>0</v>
      </c>
      <c r="R159" s="31">
        <f t="shared" si="228"/>
        <v>0</v>
      </c>
      <c r="S159" s="31">
        <f t="shared" si="229"/>
        <v>0</v>
      </c>
      <c r="T159" s="31">
        <f t="shared" si="230"/>
        <v>0</v>
      </c>
      <c r="U159" s="35">
        <f>IFERROR((VLOOKUP(A159,AtskaiteStatusuTabula!B:AI,23,0)),0)</f>
        <v>0</v>
      </c>
      <c r="V159" s="35">
        <v>0</v>
      </c>
      <c r="W159" s="31">
        <v>0</v>
      </c>
      <c r="X159" s="35">
        <f>IFERROR((VLOOKUP(A159,AtskaiteStatusuTabula!B:AI,24,0)),0)</f>
        <v>0</v>
      </c>
      <c r="Y159" s="31">
        <f t="shared" si="231"/>
        <v>0</v>
      </c>
      <c r="Z159" s="31">
        <f t="shared" si="232"/>
        <v>0</v>
      </c>
      <c r="AA159" s="31">
        <f t="shared" si="233"/>
        <v>0</v>
      </c>
      <c r="AB159" s="35">
        <f>IFERROR((VLOOKUP(A159,AtskaiteStatusuTabula!B:AI,30,0)),0)</f>
        <v>0</v>
      </c>
      <c r="AC159" s="35">
        <v>0</v>
      </c>
      <c r="AD159" s="31">
        <v>0</v>
      </c>
      <c r="AE159" s="35">
        <f>IFERROR((VLOOKUP(A159,AtskaiteStatusuTabula!B:AI,31,0)),0)</f>
        <v>0</v>
      </c>
      <c r="AF159" s="31">
        <f t="shared" si="234"/>
        <v>0</v>
      </c>
      <c r="AG159" s="31">
        <f t="shared" si="235"/>
        <v>0</v>
      </c>
      <c r="AH159" s="31">
        <f t="shared" si="236"/>
        <v>0</v>
      </c>
      <c r="AI159" s="35">
        <v>0</v>
      </c>
      <c r="AJ159" s="31">
        <v>0</v>
      </c>
      <c r="AL159" s="57">
        <f t="shared" si="199"/>
        <v>0</v>
      </c>
    </row>
    <row r="160" spans="1:38" ht="37.5" x14ac:dyDescent="0.3">
      <c r="A160" s="20" t="s">
        <v>1387</v>
      </c>
      <c r="B160" s="12" t="str">
        <f>VLOOKUP(A160,saīsinājumi_LV_ENG!A:G,5,FALSE)</f>
        <v>Izglītības iestāžu digitalizācija</v>
      </c>
      <c r="C160" s="296" t="s">
        <v>445</v>
      </c>
      <c r="D160" s="431" t="s">
        <v>1375</v>
      </c>
      <c r="E160" s="40" t="s">
        <v>348</v>
      </c>
      <c r="F160" s="35">
        <v>8895441</v>
      </c>
      <c r="G160" s="35">
        <v>0</v>
      </c>
      <c r="H160" s="35">
        <f t="shared" ref="H160" si="264">F160+G160</f>
        <v>8895441</v>
      </c>
      <c r="J160" s="148">
        <f>AtskaiteStatusuTabula!L151</f>
        <v>8895441</v>
      </c>
      <c r="K160" s="31">
        <f t="shared" si="225"/>
        <v>1</v>
      </c>
      <c r="L160" s="31">
        <f t="shared" ref="L160" si="265">K160-P160</f>
        <v>0</v>
      </c>
      <c r="M160" s="31">
        <f t="shared" ref="M160" si="266">IFERROR(((J160-O160)/O160),0)</f>
        <v>0</v>
      </c>
      <c r="N160" s="35">
        <f>IFERROR((VLOOKUP(A160,AtskaiteStatusuTabula!B:AI,17,0)),0)</f>
        <v>0</v>
      </c>
      <c r="O160" s="35">
        <v>8895441</v>
      </c>
      <c r="P160" s="31">
        <v>1</v>
      </c>
      <c r="Q160" s="148">
        <f>AtskaiteStatusuTabula!T151</f>
        <v>8895441</v>
      </c>
      <c r="R160" s="31">
        <f t="shared" si="228"/>
        <v>1</v>
      </c>
      <c r="S160" s="31">
        <f t="shared" si="229"/>
        <v>0</v>
      </c>
      <c r="T160" s="31">
        <f t="shared" si="230"/>
        <v>0</v>
      </c>
      <c r="U160" s="35">
        <f>IFERROR((VLOOKUP(A160,AtskaiteStatusuTabula!B:AI,23,0)),0)</f>
        <v>0</v>
      </c>
      <c r="V160" s="35">
        <v>8895441</v>
      </c>
      <c r="W160" s="31">
        <v>1</v>
      </c>
      <c r="X160" s="148">
        <f>AtskaiteStatusuTabula!Z151</f>
        <v>8895441</v>
      </c>
      <c r="Y160" s="31">
        <f t="shared" si="231"/>
        <v>1</v>
      </c>
      <c r="Z160" s="31">
        <f t="shared" si="232"/>
        <v>0</v>
      </c>
      <c r="AA160" s="31">
        <f t="shared" si="233"/>
        <v>0</v>
      </c>
      <c r="AB160" s="35">
        <f>IFERROR((VLOOKUP(A160,AtskaiteStatusuTabula!B:AI,30,0)),0)</f>
        <v>0</v>
      </c>
      <c r="AC160" s="35">
        <v>8895441</v>
      </c>
      <c r="AD160" s="31">
        <v>1</v>
      </c>
      <c r="AE160" s="148">
        <f>AtskaiteStatusuTabula!AG151</f>
        <v>8895441</v>
      </c>
      <c r="AF160" s="31">
        <f t="shared" si="234"/>
        <v>1</v>
      </c>
      <c r="AG160" s="31">
        <f t="shared" si="235"/>
        <v>0</v>
      </c>
      <c r="AH160" s="31">
        <f t="shared" si="236"/>
        <v>0</v>
      </c>
      <c r="AI160" s="35">
        <v>8895441</v>
      </c>
      <c r="AJ160" s="31">
        <v>1</v>
      </c>
      <c r="AL160" s="57">
        <f t="shared" si="199"/>
        <v>0</v>
      </c>
    </row>
    <row r="161" spans="1:38" ht="37.5" x14ac:dyDescent="0.3">
      <c r="A161" s="20" t="s">
        <v>1377</v>
      </c>
      <c r="B161" s="12" t="str">
        <f>VLOOKUP(A161,saīsinājumi_LV_ENG!A:G,5,FALSE)</f>
        <v>Pašvaldību infrastruktūra energoefektivitāte</v>
      </c>
      <c r="C161" s="296" t="s">
        <v>267</v>
      </c>
      <c r="D161" s="44" t="s">
        <v>1375</v>
      </c>
      <c r="E161" s="40" t="s">
        <v>350</v>
      </c>
      <c r="F161" s="35">
        <v>28808246</v>
      </c>
      <c r="G161" s="35">
        <v>0</v>
      </c>
      <c r="H161" s="35">
        <f t="shared" si="224"/>
        <v>28808246</v>
      </c>
      <c r="I161" s="35"/>
      <c r="J161" s="148">
        <f>AtskaiteStatusuTabula!L74</f>
        <v>24725187.969999999</v>
      </c>
      <c r="K161" s="31">
        <f t="shared" si="225"/>
        <v>0.85826773244021859</v>
      </c>
      <c r="L161" s="31">
        <f t="shared" si="237"/>
        <v>0</v>
      </c>
      <c r="M161" s="31">
        <f t="shared" si="238"/>
        <v>0</v>
      </c>
      <c r="N161" s="148">
        <f>AB161</f>
        <v>58</v>
      </c>
      <c r="O161" s="35">
        <v>24725187.969999999</v>
      </c>
      <c r="P161" s="31">
        <v>0.85826773244021859</v>
      </c>
      <c r="Q161" s="148">
        <f>AtskaiteStatusuTabula!T74</f>
        <v>24725187.969999999</v>
      </c>
      <c r="R161" s="31">
        <f t="shared" si="228"/>
        <v>0.85826773244021859</v>
      </c>
      <c r="S161" s="31">
        <f t="shared" si="229"/>
        <v>0</v>
      </c>
      <c r="T161" s="31">
        <f t="shared" si="230"/>
        <v>0</v>
      </c>
      <c r="U161" s="148">
        <f>AB161</f>
        <v>58</v>
      </c>
      <c r="V161" s="35">
        <v>24725187.969999999</v>
      </c>
      <c r="W161" s="31">
        <v>0.85826773244021859</v>
      </c>
      <c r="X161" s="148">
        <f>AtskaiteStatusuTabula!Z74</f>
        <v>24725187.969999999</v>
      </c>
      <c r="Y161" s="31">
        <f t="shared" si="231"/>
        <v>0.85826773244021859</v>
      </c>
      <c r="Z161" s="31">
        <f t="shared" si="232"/>
        <v>0</v>
      </c>
      <c r="AA161" s="31">
        <f t="shared" si="233"/>
        <v>0</v>
      </c>
      <c r="AB161" s="148">
        <v>58</v>
      </c>
      <c r="AC161" s="35">
        <v>24725187.969999999</v>
      </c>
      <c r="AD161" s="31">
        <v>0.85826773244021859</v>
      </c>
      <c r="AE161" s="148">
        <f>AtskaiteStatusuTabula!AG74</f>
        <v>24774480.260000002</v>
      </c>
      <c r="AF161" s="31">
        <f t="shared" si="234"/>
        <v>0.85997878038114506</v>
      </c>
      <c r="AG161" s="31">
        <f t="shared" si="235"/>
        <v>0</v>
      </c>
      <c r="AH161" s="31">
        <f t="shared" si="236"/>
        <v>0</v>
      </c>
      <c r="AI161" s="35">
        <v>24774480.260000002</v>
      </c>
      <c r="AJ161" s="31">
        <v>0.85997878038114506</v>
      </c>
      <c r="AL161" s="57">
        <f t="shared" si="199"/>
        <v>0</v>
      </c>
    </row>
    <row r="162" spans="1:38" ht="56.25" x14ac:dyDescent="0.3">
      <c r="A162" s="20" t="s">
        <v>1389</v>
      </c>
      <c r="B162" s="12" t="str">
        <f>VLOOKUP(A162,saīsinājumi_LV_ENG!A:G,5,FALSE)</f>
        <v>Teritoriju revitalizācija uzņēmējdarbības veicināšanai pašvaldībās</v>
      </c>
      <c r="C162" s="296" t="s">
        <v>283</v>
      </c>
      <c r="D162" s="44" t="s">
        <v>1375</v>
      </c>
      <c r="E162" s="40" t="s">
        <v>350</v>
      </c>
      <c r="F162" s="35">
        <v>24165500</v>
      </c>
      <c r="G162" s="35">
        <v>0</v>
      </c>
      <c r="H162" s="35">
        <f t="shared" si="224"/>
        <v>24165500</v>
      </c>
      <c r="I162" s="35"/>
      <c r="J162" s="148">
        <f>AtskaiteStatusuTabula!L107</f>
        <v>14698287.470000001</v>
      </c>
      <c r="K162" s="31">
        <f t="shared" si="216"/>
        <v>0.60823436179677648</v>
      </c>
      <c r="L162" s="31">
        <f t="shared" si="237"/>
        <v>0</v>
      </c>
      <c r="M162" s="31">
        <f t="shared" si="238"/>
        <v>0</v>
      </c>
      <c r="N162" s="148">
        <f>AB162</f>
        <v>14</v>
      </c>
      <c r="O162" s="148">
        <v>14698287.470000001</v>
      </c>
      <c r="P162" s="430">
        <v>0.60823436179677648</v>
      </c>
      <c r="Q162" s="148">
        <f>AtskaiteStatusuTabula!T107</f>
        <v>14698287.470000001</v>
      </c>
      <c r="R162" s="31">
        <f t="shared" ref="R162:R164" si="267">Q162/F162</f>
        <v>0.60823436179677648</v>
      </c>
      <c r="S162" s="31">
        <f t="shared" ref="S162:S165" si="268">R162-W162</f>
        <v>0</v>
      </c>
      <c r="T162" s="31">
        <f t="shared" si="217"/>
        <v>0</v>
      </c>
      <c r="U162" s="148">
        <f>AB162</f>
        <v>14</v>
      </c>
      <c r="V162" s="148">
        <v>14698287.470000001</v>
      </c>
      <c r="W162" s="430">
        <v>0.60823436179677648</v>
      </c>
      <c r="X162" s="148">
        <f>AtskaiteStatusuTabula!Z107</f>
        <v>14698287.470000001</v>
      </c>
      <c r="Y162" s="31">
        <f t="shared" si="218"/>
        <v>0.60823436179677648</v>
      </c>
      <c r="Z162" s="31">
        <f t="shared" si="219"/>
        <v>0</v>
      </c>
      <c r="AA162" s="31">
        <f t="shared" si="220"/>
        <v>0</v>
      </c>
      <c r="AB162" s="148">
        <v>14</v>
      </c>
      <c r="AC162" s="148">
        <v>14698287.470000001</v>
      </c>
      <c r="AD162" s="430">
        <v>0.60823436179677648</v>
      </c>
      <c r="AE162" s="148">
        <f>AtskaiteStatusuTabula!AG107</f>
        <v>14647502.24</v>
      </c>
      <c r="AF162" s="31">
        <f t="shared" si="221"/>
        <v>0.60613280254908863</v>
      </c>
      <c r="AG162" s="31">
        <f t="shared" si="222"/>
        <v>0</v>
      </c>
      <c r="AH162" s="31">
        <f t="shared" si="223"/>
        <v>0</v>
      </c>
      <c r="AI162" s="35">
        <v>14647502.24</v>
      </c>
      <c r="AJ162" s="31">
        <v>0.60613280254908863</v>
      </c>
      <c r="AL162" s="57">
        <f t="shared" si="199"/>
        <v>0</v>
      </c>
    </row>
    <row r="163" spans="1:38" ht="37.5" x14ac:dyDescent="0.3">
      <c r="A163" s="94" t="s">
        <v>1373</v>
      </c>
      <c r="B163" s="12" t="str">
        <f>VLOOKUP(A163,saīsinājumi_LV_ENG!A:G,5,FALSE)</f>
        <v>Atveseļošanas pasākumi kultūras jomā</v>
      </c>
      <c r="C163" s="458"/>
      <c r="D163" s="44" t="s">
        <v>1375</v>
      </c>
      <c r="E163" s="40" t="s">
        <v>355</v>
      </c>
      <c r="F163" s="35">
        <v>10108455</v>
      </c>
      <c r="G163" s="35">
        <v>0</v>
      </c>
      <c r="H163" s="35">
        <f t="shared" si="224"/>
        <v>10108455</v>
      </c>
      <c r="I163" s="35"/>
      <c r="J163" s="35">
        <f>IFERROR((VLOOKUP(A163,AtskaiteStatusuTabula!B:AI,10,0)),0)</f>
        <v>9741588.3200000003</v>
      </c>
      <c r="K163" s="31">
        <f t="shared" si="216"/>
        <v>0.96370694829229597</v>
      </c>
      <c r="L163" s="31">
        <f t="shared" si="237"/>
        <v>0</v>
      </c>
      <c r="M163" s="31">
        <f t="shared" si="238"/>
        <v>0</v>
      </c>
      <c r="N163" s="35">
        <f>IFERROR((VLOOKUP(A163,AtskaiteStatusuTabula!B:AI,17,0)),0)</f>
        <v>37</v>
      </c>
      <c r="O163" s="35">
        <v>9741588.3200000003</v>
      </c>
      <c r="P163" s="31">
        <v>0.96370694829229597</v>
      </c>
      <c r="Q163" s="35">
        <f>IFERROR((VLOOKUP(A163,AtskaiteStatusuTabula!B:AI,18,0)),0)</f>
        <v>9741588.3200000003</v>
      </c>
      <c r="R163" s="31">
        <f t="shared" si="267"/>
        <v>0.96370694829229597</v>
      </c>
      <c r="S163" s="31">
        <f>R163-W163</f>
        <v>0</v>
      </c>
      <c r="T163" s="31">
        <f t="shared" ref="T163" si="269">IFERROR(((Q163-V163)/V163),0)</f>
        <v>0</v>
      </c>
      <c r="U163" s="35">
        <f>IFERROR((VLOOKUP(A163,AtskaiteStatusuTabula!B:AI,23,0)),0)</f>
        <v>37</v>
      </c>
      <c r="V163" s="35">
        <v>9741588.3200000003</v>
      </c>
      <c r="W163" s="31">
        <v>0.96370694829229597</v>
      </c>
      <c r="X163" s="35">
        <f>IFERROR((VLOOKUP(A163,AtskaiteStatusuTabula!B:AI,24,0)),0)</f>
        <v>9741588.3200000003</v>
      </c>
      <c r="Y163" s="31">
        <f t="shared" ref="Y163" si="270">X163/F163</f>
        <v>0.96370694829229597</v>
      </c>
      <c r="Z163" s="31">
        <f t="shared" ref="Z163" si="271">Y163-AD163</f>
        <v>0</v>
      </c>
      <c r="AA163" s="31">
        <f t="shared" ref="AA163" si="272">IFERROR(((X163-AC163)/AC163),0)</f>
        <v>0</v>
      </c>
      <c r="AB163" s="35">
        <f>IFERROR((VLOOKUP(A163,AtskaiteStatusuTabula!B:AI,30,0)),0)</f>
        <v>37</v>
      </c>
      <c r="AC163" s="35">
        <v>9741588.3200000003</v>
      </c>
      <c r="AD163" s="31">
        <v>0.96370694829229597</v>
      </c>
      <c r="AE163" s="35">
        <f>IFERROR((VLOOKUP(A163,AtskaiteStatusuTabula!B:AI,31,0)),0)</f>
        <v>9741588.3200000003</v>
      </c>
      <c r="AF163" s="31">
        <f t="shared" ref="AF163" si="273">IFERROR((AE163/$F163),0)</f>
        <v>0.96370694829229597</v>
      </c>
      <c r="AG163" s="31">
        <f t="shared" ref="AG163" si="274">AF163-AJ163</f>
        <v>0</v>
      </c>
      <c r="AH163" s="31">
        <f t="shared" ref="AH163" si="275">IFERROR(((AE163-AI163)/AI163),0)</f>
        <v>0</v>
      </c>
      <c r="AI163" s="35">
        <v>9741588.3200000003</v>
      </c>
      <c r="AJ163" s="31">
        <v>0.96370694829229597</v>
      </c>
      <c r="AL163" s="57">
        <f t="shared" si="199"/>
        <v>0</v>
      </c>
    </row>
    <row r="164" spans="1:38" ht="37.5" x14ac:dyDescent="0.3">
      <c r="A164" s="20" t="s">
        <v>1515</v>
      </c>
      <c r="B164" s="12" t="str">
        <f>VLOOKUP(A164,saīsinājumi_LV_ENG!A:G,5,FALSE)</f>
        <v>Atveseļošanas pasākumi veselības nozarē (ERAF)</v>
      </c>
      <c r="C164" s="296" t="s">
        <v>236</v>
      </c>
      <c r="D164" s="44" t="s">
        <v>1375</v>
      </c>
      <c r="E164" s="40" t="s">
        <v>352</v>
      </c>
      <c r="F164" s="420">
        <v>51573785</v>
      </c>
      <c r="G164" s="35">
        <v>0</v>
      </c>
      <c r="H164" s="35">
        <f t="shared" si="224"/>
        <v>51573785</v>
      </c>
      <c r="I164" s="35"/>
      <c r="J164" s="148">
        <f>AtskaiteStatusuTabula!L212</f>
        <v>49678760.5</v>
      </c>
      <c r="K164" s="31">
        <f t="shared" si="216"/>
        <v>0.96325605149980753</v>
      </c>
      <c r="L164" s="31">
        <f t="shared" si="237"/>
        <v>0</v>
      </c>
      <c r="M164" s="31">
        <f t="shared" si="238"/>
        <v>0</v>
      </c>
      <c r="N164" s="148">
        <f>AB164</f>
        <v>1</v>
      </c>
      <c r="O164" s="35">
        <v>49678760.5</v>
      </c>
      <c r="P164" s="31">
        <v>0.96325605149980753</v>
      </c>
      <c r="Q164" s="148">
        <f>AtskaiteStatusuTabula!T212</f>
        <v>49678760.5</v>
      </c>
      <c r="R164" s="31">
        <f t="shared" si="267"/>
        <v>0.96325605149980753</v>
      </c>
      <c r="S164" s="31">
        <f t="shared" si="268"/>
        <v>0</v>
      </c>
      <c r="T164" s="31">
        <f t="shared" si="217"/>
        <v>0</v>
      </c>
      <c r="U164" s="148">
        <f>AB164</f>
        <v>1</v>
      </c>
      <c r="V164" s="35">
        <v>49678760.5</v>
      </c>
      <c r="W164" s="31">
        <v>0.96325605149980753</v>
      </c>
      <c r="X164" s="148">
        <f>AtskaiteStatusuTabula!Z212</f>
        <v>49678760.5</v>
      </c>
      <c r="Y164" s="31">
        <f t="shared" si="218"/>
        <v>0.96325605149980753</v>
      </c>
      <c r="Z164" s="31">
        <f t="shared" si="219"/>
        <v>0</v>
      </c>
      <c r="AA164" s="31">
        <f t="shared" si="220"/>
        <v>0</v>
      </c>
      <c r="AB164" s="148">
        <v>1</v>
      </c>
      <c r="AC164" s="35">
        <v>49678760.5</v>
      </c>
      <c r="AD164" s="31">
        <v>0.96325605149980753</v>
      </c>
      <c r="AE164" s="148">
        <f>AtskaiteStatusuTabula!AG212</f>
        <v>46399851.5</v>
      </c>
      <c r="AF164" s="31">
        <f t="shared" si="221"/>
        <v>0.89967900358680286</v>
      </c>
      <c r="AG164" s="31">
        <f t="shared" si="222"/>
        <v>0</v>
      </c>
      <c r="AH164" s="31">
        <f t="shared" si="223"/>
        <v>0</v>
      </c>
      <c r="AI164" s="35">
        <v>46399851.5</v>
      </c>
      <c r="AJ164" s="31">
        <v>0.89967900358680286</v>
      </c>
      <c r="AL164" s="57">
        <f t="shared" si="199"/>
        <v>0</v>
      </c>
    </row>
    <row r="165" spans="1:38" ht="75" x14ac:dyDescent="0.3">
      <c r="A165" s="20" t="s">
        <v>1516</v>
      </c>
      <c r="B165" s="12" t="s">
        <v>1548</v>
      </c>
      <c r="C165" s="296" t="s">
        <v>1564</v>
      </c>
      <c r="D165" s="44" t="s">
        <v>1375</v>
      </c>
      <c r="E165" s="40" t="s">
        <v>349</v>
      </c>
      <c r="F165" s="420">
        <f>11978265-1263557</f>
        <v>10714708</v>
      </c>
      <c r="G165" s="35">
        <v>0</v>
      </c>
      <c r="H165" s="35">
        <f t="shared" si="224"/>
        <v>10714708</v>
      </c>
      <c r="I165" s="421"/>
      <c r="J165" s="148">
        <f>AtskaiteStatusuTabula!L35+AtskaiteStatusuTabula!L37</f>
        <v>1821682.11</v>
      </c>
      <c r="K165" s="31">
        <f t="shared" ref="K165" si="276">J165/F165</f>
        <v>0.17001696266477817</v>
      </c>
      <c r="L165" s="31">
        <f t="shared" ref="L165" si="277">K165-P165</f>
        <v>0</v>
      </c>
      <c r="M165" s="31">
        <f t="shared" ref="M165" si="278">IFERROR(((J165-O165)/O165),0)</f>
        <v>0</v>
      </c>
      <c r="N165" s="35">
        <f>IFERROR((VLOOKUP(A165,AtskaiteStatusuTabula!B:AI,17,0)),0)</f>
        <v>0</v>
      </c>
      <c r="O165" s="35">
        <v>1821682.11</v>
      </c>
      <c r="P165" s="31">
        <v>0.17001696266477817</v>
      </c>
      <c r="Q165" s="148">
        <f>AtskaiteStatusuTabula!T35+AtskaiteStatusuTabula!T37</f>
        <v>1821682.11</v>
      </c>
      <c r="R165" s="31">
        <f t="shared" ref="R165" si="279">Q165/F165</f>
        <v>0.17001696266477817</v>
      </c>
      <c r="S165" s="31">
        <f t="shared" si="268"/>
        <v>0</v>
      </c>
      <c r="T165" s="31">
        <f t="shared" si="217"/>
        <v>0</v>
      </c>
      <c r="U165" s="35">
        <f>IFERROR((VLOOKUP(A165,AtskaiteStatusuTabula!B:AI,23,0)),0)</f>
        <v>0</v>
      </c>
      <c r="V165" s="421">
        <v>1821682.11</v>
      </c>
      <c r="W165" s="424">
        <v>0.17001696266477817</v>
      </c>
      <c r="X165" s="148">
        <f>AtskaiteStatusuTabula!Z35+AtskaiteStatusuTabula!Z37</f>
        <v>1821682.11</v>
      </c>
      <c r="Y165" s="31">
        <f t="shared" si="218"/>
        <v>0.17001696266477817</v>
      </c>
      <c r="Z165" s="31">
        <f t="shared" si="219"/>
        <v>0</v>
      </c>
      <c r="AA165" s="31">
        <f t="shared" si="220"/>
        <v>0</v>
      </c>
      <c r="AB165" s="35">
        <f>IFERROR((VLOOKUP(A165,AtskaiteStatusuTabula!B:AI,30,0)),0)</f>
        <v>0</v>
      </c>
      <c r="AC165" s="35">
        <v>1821682.11</v>
      </c>
      <c r="AD165" s="31">
        <v>0.17001696266477817</v>
      </c>
      <c r="AE165" s="148">
        <f>AtskaiteStatusuTabula!AG35+AtskaiteStatusuTabula!AG37</f>
        <v>3397061.36</v>
      </c>
      <c r="AF165" s="31">
        <f t="shared" si="221"/>
        <v>0.3170465644047416</v>
      </c>
      <c r="AG165" s="31">
        <f t="shared" si="222"/>
        <v>0</v>
      </c>
      <c r="AH165" s="31">
        <f t="shared" si="223"/>
        <v>0</v>
      </c>
      <c r="AI165" s="35">
        <v>3397061.36</v>
      </c>
      <c r="AJ165" s="31">
        <v>0.3170465644047416</v>
      </c>
      <c r="AL165" s="57"/>
    </row>
    <row r="166" spans="1:38" ht="56.25" x14ac:dyDescent="0.3">
      <c r="A166" s="21" t="s">
        <v>1500</v>
      </c>
      <c r="B166" s="10" t="str">
        <f>VLOOKUP(A166,saīsinājumi_LV_ENG!A:G,5,FALSE)</f>
        <v>Pasākumi Covid-19 pandēmijas seku mazināšanai (ESF)</v>
      </c>
      <c r="C166" s="10"/>
      <c r="D166" s="42"/>
      <c r="E166" s="42"/>
      <c r="F166" s="37">
        <f>SUM(F167:F170)</f>
        <v>22489087</v>
      </c>
      <c r="G166" s="37">
        <f>SUM(G167:G170)</f>
        <v>0</v>
      </c>
      <c r="H166" s="37">
        <f>SUM(H167:H170)</f>
        <v>22489087</v>
      </c>
      <c r="I166" s="37">
        <f>SUM(I167:I170)</f>
        <v>0</v>
      </c>
      <c r="J166" s="37">
        <f>SUM(J167:J170)</f>
        <v>21467834.219999999</v>
      </c>
      <c r="K166" s="37">
        <f>J166/F166</f>
        <v>0.95458896219308498</v>
      </c>
      <c r="L166" s="37">
        <f>K166-P166</f>
        <v>0</v>
      </c>
      <c r="M166" s="37">
        <f>IFERROR(((J166-O166)/O166),0)</f>
        <v>0</v>
      </c>
      <c r="N166" s="37">
        <f>SUM(N167:N170)</f>
        <v>4</v>
      </c>
      <c r="O166" s="37">
        <v>21467834.219999999</v>
      </c>
      <c r="P166" s="37">
        <v>0.95458896219308498</v>
      </c>
      <c r="Q166" s="37">
        <f>SUM(Q167:Q170)</f>
        <v>21467834.219999999</v>
      </c>
      <c r="R166" s="460">
        <f>Q166/F166</f>
        <v>0.95458896219308498</v>
      </c>
      <c r="S166" s="460">
        <f>R166-W166</f>
        <v>0</v>
      </c>
      <c r="T166" s="460">
        <f>IFERROR(((Q166-V166)/V166),0)</f>
        <v>0</v>
      </c>
      <c r="U166" s="37">
        <f>SUM(U167:U170)</f>
        <v>4</v>
      </c>
      <c r="V166" s="37">
        <v>21467834.219999999</v>
      </c>
      <c r="W166" s="37">
        <v>0.95458896219308498</v>
      </c>
      <c r="X166" s="37">
        <f>SUM(X167:X170)</f>
        <v>21467834.219999999</v>
      </c>
      <c r="Y166" s="37">
        <f t="shared" si="218"/>
        <v>0.95458896219308498</v>
      </c>
      <c r="Z166" s="37">
        <f t="shared" si="219"/>
        <v>0</v>
      </c>
      <c r="AA166" s="37">
        <f t="shared" si="220"/>
        <v>0</v>
      </c>
      <c r="AB166" s="37">
        <f>SUM(AB167:AB170)</f>
        <v>4</v>
      </c>
      <c r="AC166" s="37">
        <v>21467834.219999999</v>
      </c>
      <c r="AD166" s="37">
        <v>0.95458896219308498</v>
      </c>
      <c r="AE166" s="37">
        <f>SUM(AE167:AE170)</f>
        <v>21128869.52</v>
      </c>
      <c r="AF166" s="37">
        <f t="shared" si="221"/>
        <v>0.93951655396237288</v>
      </c>
      <c r="AG166" s="37">
        <f t="shared" si="222"/>
        <v>0</v>
      </c>
      <c r="AH166" s="37">
        <f t="shared" si="223"/>
        <v>0</v>
      </c>
      <c r="AI166" s="37">
        <v>21128869.52</v>
      </c>
      <c r="AJ166" s="33">
        <v>0.93951655396237288</v>
      </c>
      <c r="AL166" s="57">
        <f t="shared" si="199"/>
        <v>0</v>
      </c>
    </row>
    <row r="167" spans="1:38" ht="56.25" x14ac:dyDescent="0.3">
      <c r="A167" s="20" t="s">
        <v>1390</v>
      </c>
      <c r="B167" s="12" t="str">
        <f>VLOOKUP(A167,saīsinājumi_LV_ENG!A:G,5,FALSE)</f>
        <v>Efektīvas pārvaldības nodrošināšana augstskolās</v>
      </c>
      <c r="C167" s="459" t="s">
        <v>1572</v>
      </c>
      <c r="D167" s="44" t="s">
        <v>1525</v>
      </c>
      <c r="E167" s="40" t="s">
        <v>348</v>
      </c>
      <c r="F167" s="420">
        <v>5627882</v>
      </c>
      <c r="G167" s="420">
        <v>0</v>
      </c>
      <c r="H167" s="420">
        <v>5627882</v>
      </c>
      <c r="I167" s="37"/>
      <c r="J167" s="148">
        <f>AtskaiteStatusuTabula!L157</f>
        <v>4874489.05</v>
      </c>
      <c r="K167" s="31">
        <f>J167/F167</f>
        <v>0.8661320635365134</v>
      </c>
      <c r="L167" s="31">
        <f t="shared" ref="L167" si="280">K167-P167</f>
        <v>0</v>
      </c>
      <c r="M167" s="31">
        <f t="shared" ref="M167" si="281">IFERROR(((J167-O167)/O167),0)</f>
        <v>0</v>
      </c>
      <c r="N167" s="148">
        <f>AB167</f>
        <v>4</v>
      </c>
      <c r="O167" s="35">
        <v>4874489.05</v>
      </c>
      <c r="P167" s="31">
        <v>0.8661320635365134</v>
      </c>
      <c r="Q167" s="148">
        <f>AtskaiteStatusuTabula!T157</f>
        <v>4874489.05</v>
      </c>
      <c r="R167" s="31">
        <f>Q167/F167</f>
        <v>0.8661320635365134</v>
      </c>
      <c r="S167" s="31">
        <f t="shared" ref="S167" si="282">R167-W167</f>
        <v>0</v>
      </c>
      <c r="T167" s="31">
        <f t="shared" ref="T167" si="283">IFERROR(((Q167-V167)/V167),0)</f>
        <v>0</v>
      </c>
      <c r="U167" s="148">
        <f>AB167</f>
        <v>4</v>
      </c>
      <c r="V167" s="35">
        <v>4874489.05</v>
      </c>
      <c r="W167" s="31">
        <v>0.8661320635365134</v>
      </c>
      <c r="X167" s="148">
        <f>AtskaiteStatusuTabula!Z157</f>
        <v>4874489.05</v>
      </c>
      <c r="Y167" s="31">
        <f>X167/F167</f>
        <v>0.8661320635365134</v>
      </c>
      <c r="Z167" s="31">
        <f t="shared" ref="Z167" si="284">Y167-AD167</f>
        <v>0</v>
      </c>
      <c r="AA167" s="31">
        <f t="shared" ref="AA167" si="285">IFERROR(((X167-AC167)/AC167),0)</f>
        <v>0</v>
      </c>
      <c r="AB167" s="148">
        <v>4</v>
      </c>
      <c r="AC167" s="35">
        <v>4874489.05</v>
      </c>
      <c r="AD167" s="31">
        <v>0.8661320635365134</v>
      </c>
      <c r="AE167" s="148">
        <f>AtskaiteStatusuTabula!AG157</f>
        <v>4535524.3499999996</v>
      </c>
      <c r="AF167" s="31">
        <f>IFERROR((AE167/$F167),0)</f>
        <v>0.80590253136082091</v>
      </c>
      <c r="AG167" s="31">
        <f t="shared" ref="AG167" si="286">AF167-AJ167</f>
        <v>0</v>
      </c>
      <c r="AH167" s="31">
        <f t="shared" ref="AH167" si="287">IFERROR(((AE167-AI167)/AI167),0)</f>
        <v>0</v>
      </c>
      <c r="AI167" s="432">
        <v>4535524.3499999996</v>
      </c>
      <c r="AJ167" s="433">
        <v>0.80590253136082091</v>
      </c>
      <c r="AL167" s="57">
        <f>IF(X167&gt;(F167+G167),F167+G167-X167,0)</f>
        <v>0</v>
      </c>
    </row>
    <row r="168" spans="1:38" ht="37.5" x14ac:dyDescent="0.3">
      <c r="A168" s="20" t="s">
        <v>1391</v>
      </c>
      <c r="B168" s="12" t="str">
        <f>VLOOKUP(A168,saīsinājumi_LV_ENG!A:G,5,FALSE)</f>
        <v>Atbalsts NEET jauniešiem</v>
      </c>
      <c r="C168" s="296" t="s">
        <v>1530</v>
      </c>
      <c r="D168" s="44" t="s">
        <v>1525</v>
      </c>
      <c r="E168" s="40" t="s">
        <v>348</v>
      </c>
      <c r="F168" s="420">
        <v>1074024</v>
      </c>
      <c r="G168" s="35">
        <v>0</v>
      </c>
      <c r="H168" s="35">
        <f>F168+G168</f>
        <v>1074024</v>
      </c>
      <c r="I168" s="35"/>
      <c r="J168" s="148">
        <f>AtskaiteStatusuTabula!L166</f>
        <v>1063173.68</v>
      </c>
      <c r="K168" s="31">
        <f>J168/F168</f>
        <v>0.989897506945841</v>
      </c>
      <c r="L168" s="31">
        <f t="shared" ref="L168" si="288">K168-P168</f>
        <v>0</v>
      </c>
      <c r="M168" s="31">
        <f t="shared" ref="M168" si="289">IFERROR(((J168-O168)/O168),0)</f>
        <v>0</v>
      </c>
      <c r="N168" s="35">
        <f>IFERROR((VLOOKUP(A168,AtskaiteStatusuTabula!B:AI,17,0)),0)</f>
        <v>0</v>
      </c>
      <c r="O168" s="35">
        <v>1063173.68</v>
      </c>
      <c r="P168" s="31">
        <v>0.989897506945841</v>
      </c>
      <c r="Q168" s="148">
        <f>AtskaiteStatusuTabula!T166</f>
        <v>1063173.68</v>
      </c>
      <c r="R168" s="31">
        <f>Q168/F168</f>
        <v>0.989897506945841</v>
      </c>
      <c r="S168" s="31">
        <f t="shared" ref="S168" si="290">R168-W168</f>
        <v>0</v>
      </c>
      <c r="T168" s="31">
        <f t="shared" ref="T168" si="291">IFERROR(((Q168-V168)/V168),0)</f>
        <v>0</v>
      </c>
      <c r="U168" s="35">
        <f>IFERROR((VLOOKUP(A168,AtskaiteStatusuTabula!B:AI,23,0)),0)</f>
        <v>0</v>
      </c>
      <c r="V168" s="35">
        <v>1063173.68</v>
      </c>
      <c r="W168" s="31">
        <v>0.989897506945841</v>
      </c>
      <c r="X168" s="148">
        <f>AtskaiteStatusuTabula!Z166</f>
        <v>1063173.68</v>
      </c>
      <c r="Y168" s="31">
        <f>X168/F168</f>
        <v>0.989897506945841</v>
      </c>
      <c r="Z168" s="31">
        <f t="shared" ref="Z168" si="292">Y168-AD168</f>
        <v>0</v>
      </c>
      <c r="AA168" s="31">
        <f t="shared" ref="AA168" si="293">IFERROR(((X168-AC168)/AC168),0)</f>
        <v>0</v>
      </c>
      <c r="AB168" s="35">
        <f>IFERROR((VLOOKUP(A168,AtskaiteStatusuTabula!B:AI,30,0)),0)</f>
        <v>0</v>
      </c>
      <c r="AC168" s="35">
        <v>1063173.68</v>
      </c>
      <c r="AD168" s="31">
        <v>0.989897506945841</v>
      </c>
      <c r="AE168" s="148">
        <f>AtskaiteStatusuTabula!AG166</f>
        <v>1063173.68</v>
      </c>
      <c r="AF168" s="31">
        <f>IFERROR((AE168/$F168),0)</f>
        <v>0.989897506945841</v>
      </c>
      <c r="AG168" s="31">
        <f t="shared" ref="AG168" si="294">AF168-AJ168</f>
        <v>0</v>
      </c>
      <c r="AH168" s="31">
        <f t="shared" ref="AH168" si="295">IFERROR(((AE168-AI168)/AI168),0)</f>
        <v>0</v>
      </c>
      <c r="AI168" s="241">
        <v>1063173.68</v>
      </c>
      <c r="AJ168" s="242">
        <v>0.989897506945841</v>
      </c>
      <c r="AL168" s="57">
        <f>IF(X168&gt;(F168+G168),F168+G168-X168,0)</f>
        <v>0</v>
      </c>
    </row>
    <row r="169" spans="1:38" s="442" customFormat="1" ht="37.5" x14ac:dyDescent="0.3">
      <c r="A169" s="94" t="s">
        <v>1520</v>
      </c>
      <c r="B169" s="12" t="str">
        <f>VLOOKUP(A169,saīsinājumi_LV_ENG!A:G,5,FALSE)</f>
        <v>Atveseļošanas pasākumi labklājības jomā (ESF)</v>
      </c>
      <c r="C169" s="443" t="s">
        <v>1546</v>
      </c>
      <c r="D169" s="444" t="s">
        <v>1525</v>
      </c>
      <c r="E169" s="97" t="s">
        <v>351</v>
      </c>
      <c r="F169" s="98">
        <v>11527850</v>
      </c>
      <c r="G169" s="98">
        <v>0</v>
      </c>
      <c r="H169" s="35">
        <f>F169+G169</f>
        <v>11527850</v>
      </c>
      <c r="I169" s="98"/>
      <c r="J169" s="148">
        <f>AtskaiteStatusuTabula!L132</f>
        <v>11270840.49</v>
      </c>
      <c r="K169" s="31">
        <f t="shared" ref="K169" si="296">J169/F169</f>
        <v>0.97770533880992549</v>
      </c>
      <c r="L169" s="31">
        <f t="shared" ref="L169" si="297">K169-P169</f>
        <v>0</v>
      </c>
      <c r="M169" s="31">
        <f t="shared" ref="M169" si="298">IFERROR(((J169-O169)/O169),0)</f>
        <v>0</v>
      </c>
      <c r="N169" s="35">
        <f>IFERROR((VLOOKUP(A169,AtskaiteStatusuTabula!B:AI,17,0)),0)</f>
        <v>0</v>
      </c>
      <c r="O169" s="35">
        <v>11270840.49</v>
      </c>
      <c r="P169" s="31">
        <v>0.97770533880992549</v>
      </c>
      <c r="Q169" s="148">
        <f>AtskaiteStatusuTabula!T132</f>
        <v>11270840.49</v>
      </c>
      <c r="R169" s="31">
        <f t="shared" ref="R169" si="299">Q169/F169</f>
        <v>0.97770533880992549</v>
      </c>
      <c r="S169" s="31">
        <f t="shared" ref="S169" si="300">R169-W169</f>
        <v>0</v>
      </c>
      <c r="T169" s="31">
        <f t="shared" ref="T169" si="301">IFERROR(((Q169-V169)/V169),0)</f>
        <v>0</v>
      </c>
      <c r="U169" s="35">
        <f>IFERROR((VLOOKUP(A169,AtskaiteStatusuTabula!B:AI,23,0)),0)</f>
        <v>0</v>
      </c>
      <c r="V169" s="35">
        <v>11270840.49</v>
      </c>
      <c r="W169" s="31">
        <v>0.97770533880992549</v>
      </c>
      <c r="X169" s="148">
        <f>AtskaiteStatusuTabula!Z132</f>
        <v>11270840.49</v>
      </c>
      <c r="Y169" s="31">
        <f t="shared" ref="Y169" si="302">X169/F169</f>
        <v>0.97770533880992549</v>
      </c>
      <c r="Z169" s="31">
        <f t="shared" ref="Z169" si="303">Y169-AD169</f>
        <v>0</v>
      </c>
      <c r="AA169" s="31">
        <f t="shared" ref="AA169" si="304">IFERROR(((X169-AC169)/AC169),0)</f>
        <v>0</v>
      </c>
      <c r="AB169" s="35">
        <f>IFERROR((VLOOKUP(A169,AtskaiteStatusuTabula!B:AI,30,0)),0)</f>
        <v>0</v>
      </c>
      <c r="AC169" s="35">
        <v>11270840.49</v>
      </c>
      <c r="AD169" s="31">
        <v>0.97770533880992549</v>
      </c>
      <c r="AE169" s="148">
        <f>AtskaiteStatusuTabula!AG132</f>
        <v>11270840.49</v>
      </c>
      <c r="AF169" s="31">
        <f t="shared" ref="AF169" si="305">IFERROR((AE169/$F169),0)</f>
        <v>0.97770533880992549</v>
      </c>
      <c r="AG169" s="31">
        <f t="shared" ref="AG169" si="306">AF169-AJ169</f>
        <v>0</v>
      </c>
      <c r="AH169" s="31">
        <f t="shared" ref="AH169" si="307">IFERROR(((AE169-AI169)/AI169),0)</f>
        <v>0</v>
      </c>
      <c r="AI169" s="241">
        <v>11270840.49</v>
      </c>
      <c r="AJ169" s="242">
        <v>0.97770533880992549</v>
      </c>
      <c r="AL169" s="445"/>
    </row>
    <row r="170" spans="1:38" ht="37.5" x14ac:dyDescent="0.3">
      <c r="A170" s="20" t="s">
        <v>1521</v>
      </c>
      <c r="B170" s="12" t="str">
        <f>VLOOKUP(A170,saīsinājumi_LV_ENG!A:G,5,FALSE)</f>
        <v>Atveseļošanas pasākumi veselības nozarē (ESF)</v>
      </c>
      <c r="C170" s="296" t="s">
        <v>1294</v>
      </c>
      <c r="D170" s="44" t="s">
        <v>1525</v>
      </c>
      <c r="E170" s="40" t="s">
        <v>352</v>
      </c>
      <c r="F170" s="420">
        <v>4259331</v>
      </c>
      <c r="G170" s="35">
        <v>0</v>
      </c>
      <c r="H170" s="35">
        <f t="shared" ref="H170:H172" si="308">F170+G170</f>
        <v>4259331</v>
      </c>
      <c r="I170" s="35"/>
      <c r="J170" s="148">
        <f>AtskaiteStatusuTabula!L206</f>
        <v>4259331</v>
      </c>
      <c r="K170" s="31">
        <f t="shared" ref="K170" si="309">J170/F170</f>
        <v>1</v>
      </c>
      <c r="L170" s="31">
        <f t="shared" ref="L170" si="310">K170-P170</f>
        <v>0</v>
      </c>
      <c r="M170" s="31">
        <f t="shared" ref="M170" si="311">IFERROR(((J170-O170)/O170),0)</f>
        <v>0</v>
      </c>
      <c r="N170" s="35">
        <f>IFERROR((VLOOKUP(A170,AtskaiteStatusuTabula!B:AI,17,0)),0)</f>
        <v>0</v>
      </c>
      <c r="O170" s="35">
        <v>4259331</v>
      </c>
      <c r="P170" s="31">
        <v>1</v>
      </c>
      <c r="Q170" s="148">
        <f>AtskaiteStatusuTabula!T206</f>
        <v>4259331</v>
      </c>
      <c r="R170" s="31">
        <f t="shared" ref="R170" si="312">Q170/F170</f>
        <v>1</v>
      </c>
      <c r="S170" s="31">
        <f t="shared" ref="S170" si="313">R170-W170</f>
        <v>0</v>
      </c>
      <c r="T170" s="31">
        <f t="shared" ref="T170" si="314">IFERROR(((Q170-V170)/V170),0)</f>
        <v>0</v>
      </c>
      <c r="U170" s="35">
        <f>IFERROR((VLOOKUP(A170,AtskaiteStatusuTabula!B:AI,23,0)),0)</f>
        <v>0</v>
      </c>
      <c r="V170" s="35">
        <v>4259331</v>
      </c>
      <c r="W170" s="31">
        <v>1</v>
      </c>
      <c r="X170" s="148">
        <f>AtskaiteStatusuTabula!Z206</f>
        <v>4259331</v>
      </c>
      <c r="Y170" s="31">
        <f t="shared" ref="Y170" si="315">X170/F170</f>
        <v>1</v>
      </c>
      <c r="Z170" s="31">
        <f t="shared" ref="Z170" si="316">Y170-AD170</f>
        <v>0</v>
      </c>
      <c r="AA170" s="31">
        <f t="shared" ref="AA170" si="317">IFERROR(((X170-AC170)/AC170),0)</f>
        <v>0</v>
      </c>
      <c r="AB170" s="35">
        <f>IFERROR((VLOOKUP(A170,AtskaiteStatusuTabula!B:AI,30,0)),0)</f>
        <v>0</v>
      </c>
      <c r="AC170" s="35">
        <v>4259331</v>
      </c>
      <c r="AD170" s="31">
        <v>1</v>
      </c>
      <c r="AE170" s="148">
        <f>AtskaiteStatusuTabula!AG206</f>
        <v>4259331</v>
      </c>
      <c r="AF170" s="31">
        <f t="shared" ref="AF170" si="318">IFERROR((AE170/$F170),0)</f>
        <v>1</v>
      </c>
      <c r="AG170" s="31">
        <f t="shared" ref="AG170" si="319">AF170-AJ170</f>
        <v>0</v>
      </c>
      <c r="AH170" s="31">
        <f t="shared" ref="AH170" si="320">IFERROR(((AE170-AI170)/AI170),0)</f>
        <v>0</v>
      </c>
      <c r="AI170" s="35">
        <v>4259331</v>
      </c>
      <c r="AJ170" s="31">
        <v>1</v>
      </c>
      <c r="AL170" s="57">
        <f t="shared" si="199"/>
        <v>0</v>
      </c>
    </row>
    <row r="171" spans="1:38" ht="39" customHeight="1" x14ac:dyDescent="0.3">
      <c r="A171" s="21" t="s">
        <v>1602</v>
      </c>
      <c r="B171" s="10" t="s">
        <v>1603</v>
      </c>
      <c r="C171" s="10"/>
      <c r="D171" s="42"/>
      <c r="E171" s="42"/>
      <c r="F171" s="37">
        <f>F172</f>
        <v>0</v>
      </c>
      <c r="G171" s="37">
        <f t="shared" ref="G171:AH171" si="321">G172</f>
        <v>60000000</v>
      </c>
      <c r="H171" s="37">
        <f t="shared" si="321"/>
        <v>60000000</v>
      </c>
      <c r="I171" s="37">
        <f t="shared" si="321"/>
        <v>0</v>
      </c>
      <c r="J171" s="37">
        <f t="shared" si="321"/>
        <v>60000000</v>
      </c>
      <c r="K171" s="37">
        <f t="shared" si="321"/>
        <v>1</v>
      </c>
      <c r="L171" s="37">
        <f t="shared" si="321"/>
        <v>0</v>
      </c>
      <c r="M171" s="37">
        <f t="shared" si="321"/>
        <v>0</v>
      </c>
      <c r="N171" s="37">
        <f t="shared" si="321"/>
        <v>1</v>
      </c>
      <c r="O171" s="37">
        <v>60000000</v>
      </c>
      <c r="P171" s="37">
        <v>1</v>
      </c>
      <c r="Q171" s="37">
        <f t="shared" si="321"/>
        <v>60000000</v>
      </c>
      <c r="R171" s="37">
        <f t="shared" si="321"/>
        <v>1</v>
      </c>
      <c r="S171" s="37">
        <f t="shared" si="321"/>
        <v>0</v>
      </c>
      <c r="T171" s="37">
        <f t="shared" si="321"/>
        <v>0</v>
      </c>
      <c r="U171" s="37">
        <f t="shared" si="321"/>
        <v>1</v>
      </c>
      <c r="V171" s="37">
        <v>60000000</v>
      </c>
      <c r="W171" s="37">
        <v>1</v>
      </c>
      <c r="X171" s="37">
        <f t="shared" si="321"/>
        <v>60000000</v>
      </c>
      <c r="Y171" s="37">
        <f t="shared" si="321"/>
        <v>1</v>
      </c>
      <c r="Z171" s="37">
        <f t="shared" si="321"/>
        <v>0</v>
      </c>
      <c r="AA171" s="37">
        <f t="shared" si="321"/>
        <v>0</v>
      </c>
      <c r="AB171" s="37">
        <f t="shared" si="321"/>
        <v>1</v>
      </c>
      <c r="AC171" s="37">
        <v>60000000</v>
      </c>
      <c r="AD171" s="37">
        <v>1</v>
      </c>
      <c r="AE171" s="37">
        <f t="shared" si="321"/>
        <v>60000000</v>
      </c>
      <c r="AF171" s="37">
        <f t="shared" si="321"/>
        <v>1</v>
      </c>
      <c r="AG171" s="37">
        <f t="shared" si="321"/>
        <v>0</v>
      </c>
      <c r="AH171" s="37">
        <f t="shared" si="321"/>
        <v>0</v>
      </c>
      <c r="AI171" s="37">
        <v>60000000</v>
      </c>
      <c r="AJ171" s="33">
        <v>1</v>
      </c>
      <c r="AL171" s="57">
        <f t="shared" ref="AL171" si="322">IF(X171&gt;(F171+G171),F171+G171-X171,0)</f>
        <v>0</v>
      </c>
    </row>
    <row r="172" spans="1:38" ht="60.75" customHeight="1" x14ac:dyDescent="0.3">
      <c r="A172" s="20" t="s">
        <v>1600</v>
      </c>
      <c r="B172" s="472" t="s">
        <v>1601</v>
      </c>
      <c r="C172" s="296" t="s">
        <v>268</v>
      </c>
      <c r="D172" s="44" t="s">
        <v>345</v>
      </c>
      <c r="E172" s="40" t="s">
        <v>349</v>
      </c>
      <c r="F172" s="3">
        <v>0</v>
      </c>
      <c r="G172" s="420">
        <v>60000000</v>
      </c>
      <c r="H172" s="35">
        <f t="shared" si="308"/>
        <v>60000000</v>
      </c>
      <c r="I172" s="35"/>
      <c r="J172" s="474">
        <f>AtskaiteStatusuTabula!K229</f>
        <v>60000000</v>
      </c>
      <c r="K172" s="31">
        <f>J172/G172</f>
        <v>1</v>
      </c>
      <c r="L172" s="31">
        <f t="shared" ref="L172" si="323">K172-P172</f>
        <v>0</v>
      </c>
      <c r="M172" s="31">
        <f t="shared" ref="M172" si="324">IFERROR(((J172-O172)/O172),0)</f>
        <v>0</v>
      </c>
      <c r="N172" s="471">
        <v>1</v>
      </c>
      <c r="O172" s="241">
        <v>60000000</v>
      </c>
      <c r="P172" s="242">
        <v>1</v>
      </c>
      <c r="Q172" s="474">
        <f>AtskaiteStatusuTabula!S229</f>
        <v>60000000</v>
      </c>
      <c r="R172" s="31">
        <f>Q172/G172</f>
        <v>1</v>
      </c>
      <c r="S172" s="31">
        <f t="shared" ref="S172" si="325">R172-W172</f>
        <v>0</v>
      </c>
      <c r="T172" s="31">
        <f t="shared" ref="T172" si="326">IFERROR(((Q172-V172)/V172),0)</f>
        <v>0</v>
      </c>
      <c r="U172" s="471">
        <v>1</v>
      </c>
      <c r="V172" s="241">
        <v>60000000</v>
      </c>
      <c r="W172" s="242">
        <v>1</v>
      </c>
      <c r="X172" s="474">
        <f>AtskaiteStatusuTabula!Y229</f>
        <v>60000000</v>
      </c>
      <c r="Y172" s="31">
        <f>X172/G172</f>
        <v>1</v>
      </c>
      <c r="Z172" s="31">
        <f t="shared" ref="Z172" si="327">Y172-AD172</f>
        <v>0</v>
      </c>
      <c r="AA172" s="31">
        <f t="shared" ref="AA172" si="328">IFERROR(((X172-AC172)/AC172),0)</f>
        <v>0</v>
      </c>
      <c r="AB172" s="471">
        <f>IFERROR((VLOOKUP(A172,AtskaiteStatusuTabula!B:AI,30,0)),0)</f>
        <v>1</v>
      </c>
      <c r="AC172" s="474">
        <v>60000000</v>
      </c>
      <c r="AD172" s="475">
        <v>1</v>
      </c>
      <c r="AE172" s="474">
        <f>AtskaiteStatusuTabula!AF229</f>
        <v>60000000</v>
      </c>
      <c r="AF172" s="31">
        <f>IFERROR((AE172/$G172),0)</f>
        <v>1</v>
      </c>
      <c r="AG172" s="31">
        <f t="shared" ref="AG172" si="329">AF172-AJ172</f>
        <v>0</v>
      </c>
      <c r="AH172" s="31">
        <f t="shared" ref="AH172" si="330">IFERROR(((AE172-AI172)/AI172),0)</f>
        <v>0</v>
      </c>
      <c r="AI172" s="241">
        <v>60000000</v>
      </c>
      <c r="AJ172" s="242">
        <v>1</v>
      </c>
      <c r="AL172" s="57"/>
    </row>
    <row r="173" spans="1:38" x14ac:dyDescent="0.3">
      <c r="A173" s="20"/>
      <c r="B173" s="12"/>
      <c r="C173" s="296"/>
      <c r="D173" s="44"/>
      <c r="E173" s="40"/>
      <c r="F173" s="420"/>
      <c r="G173" s="35"/>
      <c r="H173" s="35"/>
      <c r="I173" s="35"/>
      <c r="J173" s="241"/>
      <c r="K173" s="242"/>
      <c r="L173" s="242"/>
      <c r="M173" s="242"/>
      <c r="N173" s="241"/>
      <c r="O173" s="241"/>
      <c r="P173" s="242"/>
      <c r="Q173" s="241"/>
      <c r="R173" s="242"/>
      <c r="S173" s="242"/>
      <c r="T173" s="242"/>
      <c r="U173" s="241"/>
      <c r="V173" s="241"/>
      <c r="W173" s="242"/>
      <c r="X173" s="241"/>
      <c r="Y173" s="242"/>
      <c r="Z173" s="242"/>
      <c r="AA173" s="242"/>
      <c r="AB173" s="241"/>
      <c r="AC173" s="241"/>
      <c r="AD173" s="242"/>
      <c r="AE173" s="241"/>
      <c r="AF173" s="242"/>
      <c r="AG173" s="242"/>
      <c r="AH173" s="242"/>
      <c r="AI173" s="241"/>
      <c r="AJ173" s="242"/>
      <c r="AL173" s="57"/>
    </row>
    <row r="174" spans="1:38" x14ac:dyDescent="0.3">
      <c r="A174" s="403"/>
      <c r="B174" s="404"/>
      <c r="C174" s="405"/>
      <c r="D174" s="164"/>
      <c r="E174" s="406"/>
      <c r="F174" s="407"/>
      <c r="G174" s="35"/>
      <c r="H174" s="35"/>
      <c r="I174" s="35"/>
      <c r="J174" s="241"/>
      <c r="K174" s="242"/>
      <c r="L174" s="242"/>
      <c r="M174" s="242"/>
      <c r="N174" s="241"/>
      <c r="O174" s="241"/>
      <c r="P174" s="242"/>
      <c r="Q174" s="241"/>
      <c r="R174" s="242"/>
      <c r="S174" s="242"/>
      <c r="T174" s="242"/>
      <c r="U174" s="241"/>
      <c r="V174" s="241"/>
      <c r="W174" s="242"/>
      <c r="X174" s="241"/>
      <c r="Y174" s="242"/>
      <c r="Z174" s="242"/>
      <c r="AA174" s="242"/>
      <c r="AB174" s="241"/>
      <c r="AC174" s="241"/>
      <c r="AD174" s="242"/>
      <c r="AE174" s="241"/>
      <c r="AF174" s="242"/>
      <c r="AG174" s="242"/>
      <c r="AH174" s="242"/>
      <c r="AI174" s="241"/>
      <c r="AJ174" s="242"/>
    </row>
    <row r="175" spans="1:38" ht="37.5" x14ac:dyDescent="0.3">
      <c r="A175" s="287"/>
      <c r="B175" s="286" t="s">
        <v>1281</v>
      </c>
      <c r="C175" s="446"/>
      <c r="D175" s="40" t="s">
        <v>346</v>
      </c>
      <c r="E175" s="40"/>
      <c r="F175" s="461">
        <f>F193+F190+F194+F195+F196+F197</f>
        <v>779203</v>
      </c>
      <c r="G175" s="35">
        <v>0</v>
      </c>
      <c r="H175" s="35">
        <f>F175+G175</f>
        <v>779203</v>
      </c>
      <c r="I175" s="35"/>
      <c r="J175" s="242"/>
      <c r="K175" s="242"/>
      <c r="L175" s="242"/>
      <c r="M175" s="242"/>
      <c r="N175" s="241"/>
      <c r="O175" s="241"/>
      <c r="P175" s="242"/>
      <c r="Q175" s="241"/>
      <c r="R175" s="242"/>
      <c r="S175" s="242"/>
      <c r="T175" s="242"/>
      <c r="U175" s="241"/>
      <c r="V175" s="241"/>
      <c r="W175" s="242"/>
      <c r="X175" s="241"/>
      <c r="Y175" s="242"/>
      <c r="Z175" s="242"/>
      <c r="AA175" s="242"/>
      <c r="AB175" s="241"/>
      <c r="AC175" s="241"/>
      <c r="AD175" s="242"/>
      <c r="AE175" s="241"/>
      <c r="AF175" s="242"/>
      <c r="AG175" s="242"/>
      <c r="AH175" s="242"/>
      <c r="AI175" s="241"/>
      <c r="AJ175" s="242"/>
    </row>
    <row r="176" spans="1:38" ht="37.5" x14ac:dyDescent="0.3">
      <c r="A176" s="287"/>
      <c r="B176" s="286" t="s">
        <v>1281</v>
      </c>
      <c r="C176" s="11"/>
      <c r="D176" s="40" t="s">
        <v>358</v>
      </c>
      <c r="E176" s="40"/>
      <c r="F176" s="35">
        <v>0</v>
      </c>
      <c r="G176" s="35"/>
      <c r="H176" s="35">
        <f t="shared" ref="H176:H178" si="331">F176+G176</f>
        <v>0</v>
      </c>
      <c r="I176" s="35"/>
      <c r="J176" s="57"/>
      <c r="K176" s="242"/>
      <c r="L176" s="242"/>
      <c r="M176" s="242"/>
      <c r="N176" s="241"/>
      <c r="O176" s="302"/>
      <c r="P176" s="303"/>
      <c r="Q176" s="302"/>
      <c r="R176" s="242"/>
      <c r="S176" s="242"/>
      <c r="T176" s="242"/>
      <c r="U176" s="241"/>
      <c r="V176" s="241"/>
      <c r="W176" s="242"/>
      <c r="X176" s="241"/>
      <c r="Y176" s="242"/>
      <c r="Z176" s="242"/>
      <c r="AA176" s="242"/>
      <c r="AB176" s="241"/>
      <c r="AC176" s="241"/>
      <c r="AD176" s="242"/>
      <c r="AE176" s="241"/>
      <c r="AF176" s="242"/>
      <c r="AG176" s="242"/>
      <c r="AH176" s="242"/>
      <c r="AI176" s="241"/>
      <c r="AJ176" s="242"/>
    </row>
    <row r="177" spans="1:36" ht="37.5" x14ac:dyDescent="0.3">
      <c r="A177" s="285"/>
      <c r="B177" s="286" t="s">
        <v>1281</v>
      </c>
      <c r="C177" s="446"/>
      <c r="D177" s="298" t="s">
        <v>344</v>
      </c>
      <c r="E177" s="11"/>
      <c r="F177" s="98">
        <v>0</v>
      </c>
      <c r="G177" s="35"/>
      <c r="H177" s="35">
        <f>F177+G177</f>
        <v>0</v>
      </c>
      <c r="I177" s="35">
        <v>2682212</v>
      </c>
      <c r="J177" s="57"/>
      <c r="O177" s="304"/>
      <c r="P177" s="305"/>
      <c r="Q177" s="304"/>
      <c r="S177" s="57"/>
    </row>
    <row r="178" spans="1:36" ht="37.5" x14ac:dyDescent="0.3">
      <c r="A178" s="285"/>
      <c r="B178" s="286" t="s">
        <v>1281</v>
      </c>
      <c r="C178" s="308"/>
      <c r="D178" s="298" t="s">
        <v>345</v>
      </c>
      <c r="E178" s="11"/>
      <c r="F178" s="35">
        <f>F191+F192</f>
        <v>8459719</v>
      </c>
      <c r="G178" s="35">
        <f>G192</f>
        <v>-7399760</v>
      </c>
      <c r="H178" s="35">
        <f t="shared" si="331"/>
        <v>1059959</v>
      </c>
      <c r="I178" s="35">
        <f>438842+1484801</f>
        <v>1923643</v>
      </c>
      <c r="J178" s="57"/>
      <c r="O178" s="304"/>
      <c r="P178" s="305"/>
      <c r="Q178" s="304"/>
    </row>
    <row r="179" spans="1:36" x14ac:dyDescent="0.3">
      <c r="A179" s="285"/>
      <c r="B179" s="286" t="s">
        <v>1345</v>
      </c>
      <c r="C179" s="11"/>
      <c r="D179" s="298" t="s">
        <v>344</v>
      </c>
      <c r="E179" s="11"/>
      <c r="F179" s="35">
        <f>SUM(F200:F204)</f>
        <v>2524642</v>
      </c>
      <c r="G179" s="300">
        <f>SUM(G200:G204)</f>
        <v>0</v>
      </c>
      <c r="H179" s="35">
        <f>F179+G179</f>
        <v>2524642</v>
      </c>
      <c r="I179" s="241"/>
      <c r="O179" s="304"/>
      <c r="P179" s="305"/>
      <c r="Q179" s="304"/>
    </row>
    <row r="180" spans="1:36" x14ac:dyDescent="0.3">
      <c r="A180" s="285"/>
      <c r="B180" s="286" t="s">
        <v>1345</v>
      </c>
      <c r="C180" s="11"/>
      <c r="D180" s="298" t="s">
        <v>346</v>
      </c>
      <c r="E180" s="11"/>
      <c r="F180" s="35">
        <v>0</v>
      </c>
      <c r="G180" s="300">
        <v>0</v>
      </c>
      <c r="H180" s="35">
        <v>0</v>
      </c>
      <c r="I180" s="241"/>
      <c r="O180" s="304"/>
      <c r="P180" s="305"/>
      <c r="Q180" s="304"/>
    </row>
    <row r="181" spans="1:36" x14ac:dyDescent="0.3">
      <c r="A181" s="296"/>
      <c r="B181" s="12"/>
      <c r="F181" s="57"/>
    </row>
    <row r="182" spans="1:36" x14ac:dyDescent="0.3">
      <c r="A182" s="294" t="s">
        <v>1289</v>
      </c>
      <c r="B182" s="295"/>
      <c r="C182" s="295"/>
      <c r="D182" s="295"/>
      <c r="E182" s="295"/>
      <c r="F182" s="295"/>
      <c r="G182" s="295"/>
      <c r="H182" s="295"/>
      <c r="I182" s="295"/>
      <c r="J182" s="295"/>
      <c r="K182" s="295"/>
      <c r="L182" s="295"/>
      <c r="M182" s="137"/>
      <c r="N182" s="137"/>
      <c r="O182" s="137"/>
      <c r="P182" s="137"/>
      <c r="Q182" s="138"/>
    </row>
    <row r="183" spans="1:36" x14ac:dyDescent="0.3">
      <c r="A183" s="294" t="s">
        <v>1309</v>
      </c>
      <c r="B183" s="295"/>
      <c r="C183" s="295"/>
      <c r="D183" s="295"/>
      <c r="E183" s="295"/>
      <c r="F183" s="295"/>
      <c r="G183" s="295"/>
      <c r="H183" s="295"/>
      <c r="I183" s="295"/>
      <c r="J183" s="295"/>
      <c r="K183" s="295"/>
      <c r="L183" s="295"/>
      <c r="M183" s="293"/>
      <c r="N183" s="293"/>
      <c r="O183" s="293"/>
      <c r="P183" s="293"/>
      <c r="Q183" s="293"/>
    </row>
    <row r="184" spans="1:36" x14ac:dyDescent="0.3">
      <c r="A184" s="19" t="s">
        <v>1291</v>
      </c>
      <c r="B184" s="19"/>
      <c r="C184" s="19"/>
      <c r="D184" s="19"/>
      <c r="E184" s="19"/>
      <c r="F184" s="19"/>
      <c r="G184" s="19"/>
      <c r="H184" s="19"/>
      <c r="I184" s="19"/>
      <c r="J184" s="19"/>
      <c r="K184" s="19"/>
      <c r="L184" s="19"/>
      <c r="M184" s="19"/>
      <c r="N184" s="19"/>
      <c r="O184" s="19"/>
      <c r="P184" s="19"/>
      <c r="Q184" s="19"/>
    </row>
    <row r="185" spans="1:36" s="422" customFormat="1" x14ac:dyDescent="0.3">
      <c r="A185" s="322" t="s">
        <v>1310</v>
      </c>
      <c r="B185" s="3"/>
      <c r="C185" s="3"/>
      <c r="D185" s="3"/>
      <c r="E185" s="3"/>
      <c r="F185" s="3"/>
      <c r="G185" s="3"/>
      <c r="H185" s="3"/>
      <c r="I185" s="3"/>
      <c r="J185" s="3"/>
      <c r="K185" s="3"/>
      <c r="L185" s="3"/>
      <c r="M185" s="3"/>
      <c r="N185" s="3"/>
      <c r="O185" s="57"/>
      <c r="P185" s="3"/>
      <c r="V185" s="3"/>
      <c r="W185" s="55"/>
      <c r="X185" s="423"/>
      <c r="AC185" s="3"/>
      <c r="AD185" s="55"/>
      <c r="AI185" s="57"/>
      <c r="AJ185" s="55"/>
    </row>
    <row r="187" spans="1:36" ht="25.5" x14ac:dyDescent="0.35">
      <c r="A187" s="321" t="s">
        <v>1308</v>
      </c>
      <c r="Z187" s="25"/>
    </row>
    <row r="188" spans="1:36" x14ac:dyDescent="0.3">
      <c r="A188" s="319" t="s">
        <v>1271</v>
      </c>
      <c r="B188" s="320"/>
      <c r="C188" s="320"/>
      <c r="D188" s="320"/>
      <c r="E188" s="320"/>
      <c r="F188" s="320" t="s">
        <v>1306</v>
      </c>
      <c r="G188" s="320" t="s">
        <v>1307</v>
      </c>
      <c r="Z188" s="25"/>
    </row>
    <row r="189" spans="1:36" x14ac:dyDescent="0.3">
      <c r="A189" s="296"/>
      <c r="B189" s="11"/>
      <c r="C189" s="11"/>
      <c r="D189" s="11"/>
      <c r="E189" s="317" t="s">
        <v>402</v>
      </c>
      <c r="F189" s="318">
        <f>SUM(F190:F197)</f>
        <v>9238922</v>
      </c>
      <c r="G189" s="318">
        <f>SUM(G190:G193)</f>
        <v>-7399760</v>
      </c>
      <c r="Z189" s="25"/>
    </row>
    <row r="190" spans="1:36" x14ac:dyDescent="0.3">
      <c r="A190" s="296" t="s">
        <v>314</v>
      </c>
      <c r="B190" s="11" t="s">
        <v>1076</v>
      </c>
      <c r="C190" s="11" t="s">
        <v>1578</v>
      </c>
      <c r="D190" s="11" t="s">
        <v>346</v>
      </c>
      <c r="E190" s="11" t="s">
        <v>348</v>
      </c>
      <c r="F190" s="323">
        <v>0</v>
      </c>
      <c r="G190" s="323"/>
      <c r="H190" s="3" t="s">
        <v>1528</v>
      </c>
      <c r="J190" s="3" t="str">
        <f t="shared" ref="J190:J193" si="332">A190&amp;H190</f>
        <v>8.3.2.2Bez MKN</v>
      </c>
      <c r="Z190" s="25"/>
    </row>
    <row r="191" spans="1:36" x14ac:dyDescent="0.3">
      <c r="A191" s="296" t="s">
        <v>1368</v>
      </c>
      <c r="B191" s="11" t="s">
        <v>1416</v>
      </c>
      <c r="C191" s="11" t="s">
        <v>1567</v>
      </c>
      <c r="D191" s="11" t="s">
        <v>345</v>
      </c>
      <c r="E191" s="11" t="s">
        <v>350</v>
      </c>
      <c r="F191" s="323">
        <v>1059959</v>
      </c>
      <c r="G191" s="323"/>
      <c r="H191" s="3" t="s">
        <v>1528</v>
      </c>
      <c r="J191" s="3" t="str">
        <f t="shared" si="332"/>
        <v>5.4.3.2Bez MKN</v>
      </c>
      <c r="Z191" s="25"/>
    </row>
    <row r="192" spans="1:36" x14ac:dyDescent="0.3">
      <c r="A192" s="296" t="s">
        <v>1604</v>
      </c>
      <c r="B192" s="11" t="s">
        <v>815</v>
      </c>
      <c r="C192" s="11" t="s">
        <v>1605</v>
      </c>
      <c r="D192" s="11" t="s">
        <v>345</v>
      </c>
      <c r="E192" s="11" t="s">
        <v>1606</v>
      </c>
      <c r="F192" s="323">
        <v>7399760</v>
      </c>
      <c r="G192" s="323">
        <v>-7399760</v>
      </c>
      <c r="Z192" s="25"/>
    </row>
    <row r="193" spans="1:36" x14ac:dyDescent="0.3">
      <c r="A193" s="296" t="s">
        <v>309</v>
      </c>
      <c r="B193" s="11" t="s">
        <v>1045</v>
      </c>
      <c r="C193" s="11" t="s">
        <v>1580</v>
      </c>
      <c r="D193" s="11" t="s">
        <v>346</v>
      </c>
      <c r="E193" s="11" t="s">
        <v>348</v>
      </c>
      <c r="F193" s="323">
        <v>0</v>
      </c>
      <c r="G193" s="323"/>
      <c r="H193" s="3" t="s">
        <v>1528</v>
      </c>
      <c r="J193" s="3" t="str">
        <f t="shared" si="332"/>
        <v>8.2.2Bez MKN</v>
      </c>
      <c r="K193" s="3" t="s">
        <v>1581</v>
      </c>
      <c r="Z193" s="25"/>
    </row>
    <row r="194" spans="1:36" x14ac:dyDescent="0.3">
      <c r="A194" s="296"/>
      <c r="B194" s="12"/>
      <c r="C194" s="11"/>
      <c r="D194" s="11"/>
      <c r="E194" s="11"/>
      <c r="F194" s="323"/>
      <c r="G194" s="323">
        <v>0</v>
      </c>
      <c r="Z194" s="25"/>
    </row>
    <row r="195" spans="1:36" ht="37.5" x14ac:dyDescent="0.3">
      <c r="A195" s="296" t="s">
        <v>1589</v>
      </c>
      <c r="B195" s="12" t="s">
        <v>1590</v>
      </c>
      <c r="C195" s="11" t="s">
        <v>1591</v>
      </c>
      <c r="D195" s="11" t="s">
        <v>346</v>
      </c>
      <c r="E195" s="11" t="s">
        <v>348</v>
      </c>
      <c r="F195" s="473">
        <v>0</v>
      </c>
      <c r="G195" s="323">
        <v>0</v>
      </c>
      <c r="H195" s="3" t="s">
        <v>1528</v>
      </c>
      <c r="J195" s="3" t="str">
        <f t="shared" ref="J195:J196" si="333">A195&amp;H195</f>
        <v>8.3.6.1.Bez MKN</v>
      </c>
      <c r="K195" s="3" t="s">
        <v>1592</v>
      </c>
      <c r="L195" s="3" t="s">
        <v>1597</v>
      </c>
      <c r="Z195" s="25"/>
    </row>
    <row r="196" spans="1:36" x14ac:dyDescent="0.3">
      <c r="A196" s="456" t="s">
        <v>1585</v>
      </c>
      <c r="B196" s="12" t="s">
        <v>1586</v>
      </c>
      <c r="C196" s="11" t="s">
        <v>1587</v>
      </c>
      <c r="D196" s="11" t="s">
        <v>346</v>
      </c>
      <c r="E196" s="11" t="s">
        <v>348</v>
      </c>
      <c r="F196" s="323">
        <v>575064</v>
      </c>
      <c r="G196" s="323">
        <v>0</v>
      </c>
      <c r="H196" s="3" t="s">
        <v>1528</v>
      </c>
      <c r="J196" s="3" t="str">
        <f t="shared" si="333"/>
        <v>8.4.1.Bez MKN</v>
      </c>
      <c r="K196" s="3" t="s">
        <v>1588</v>
      </c>
      <c r="Z196" s="25"/>
    </row>
    <row r="197" spans="1:36" ht="37.5" x14ac:dyDescent="0.3">
      <c r="A197" s="456" t="s">
        <v>1531</v>
      </c>
      <c r="B197" s="12" t="s">
        <v>1594</v>
      </c>
      <c r="C197" s="11" t="s">
        <v>1595</v>
      </c>
      <c r="D197" s="11" t="s">
        <v>346</v>
      </c>
      <c r="E197" s="11" t="s">
        <v>348</v>
      </c>
      <c r="F197" s="323">
        <v>204139</v>
      </c>
      <c r="G197" s="323"/>
      <c r="H197" s="3" t="s">
        <v>1528</v>
      </c>
      <c r="J197" s="3" t="s">
        <v>1596</v>
      </c>
      <c r="Z197" s="25"/>
    </row>
    <row r="198" spans="1:36" ht="56.25" x14ac:dyDescent="0.3">
      <c r="A198" s="373" t="s">
        <v>1359</v>
      </c>
      <c r="B198" s="374"/>
      <c r="C198" s="374" t="s">
        <v>1524</v>
      </c>
      <c r="D198" s="374"/>
      <c r="E198" s="374"/>
      <c r="F198" s="457" t="s">
        <v>1554</v>
      </c>
      <c r="G198" s="457" t="s">
        <v>1307</v>
      </c>
      <c r="H198" s="3" t="s">
        <v>1528</v>
      </c>
      <c r="J198" s="3" t="str">
        <f t="shared" ref="J198" si="334">A198&amp;H198</f>
        <v>REACT EUBez MKN</v>
      </c>
      <c r="O198" s="3"/>
      <c r="P198" s="55"/>
      <c r="Q198" s="25"/>
      <c r="X198" s="3"/>
      <c r="Z198" s="25"/>
      <c r="AB198" s="57"/>
      <c r="AC198" s="55"/>
      <c r="AD198" s="3"/>
      <c r="AI198" s="3"/>
      <c r="AJ198" s="3"/>
    </row>
    <row r="199" spans="1:36" x14ac:dyDescent="0.3">
      <c r="A199" s="11"/>
      <c r="B199" s="11"/>
      <c r="C199" s="11"/>
      <c r="D199" s="11"/>
      <c r="E199" s="11" t="s">
        <v>402</v>
      </c>
      <c r="F199" s="318">
        <f>SUM(F200:F204)</f>
        <v>2524642</v>
      </c>
      <c r="G199" s="323"/>
      <c r="O199" s="3"/>
      <c r="P199" s="55"/>
      <c r="Q199" s="25"/>
      <c r="X199" s="3"/>
      <c r="Z199" s="25"/>
      <c r="AB199" s="57"/>
      <c r="AC199" s="55"/>
      <c r="AD199" s="3"/>
      <c r="AI199" s="3"/>
      <c r="AJ199" s="3"/>
    </row>
    <row r="200" spans="1:36" ht="37.5" x14ac:dyDescent="0.3">
      <c r="A200" s="11" t="s">
        <v>1378</v>
      </c>
      <c r="B200" s="12" t="str">
        <f>VLOOKUP(A200,saīsinājumi_LV_ENG!A:G,5,FALSE)</f>
        <v xml:space="preserve">Daudzdzīvokļu māju energoefektivitāte </v>
      </c>
      <c r="C200" s="11" t="s">
        <v>265</v>
      </c>
      <c r="D200" s="44" t="s">
        <v>1375</v>
      </c>
      <c r="E200" s="11" t="s">
        <v>349</v>
      </c>
      <c r="F200" s="323">
        <f>F210-F155</f>
        <v>0</v>
      </c>
      <c r="G200" s="323"/>
      <c r="H200" s="3" t="s">
        <v>1528</v>
      </c>
      <c r="J200" s="3" t="str">
        <f t="shared" ref="J200:J204" si="335">A200&amp;H200</f>
        <v>13.1.1.2Bez MKN</v>
      </c>
      <c r="L200" s="57"/>
      <c r="O200" s="3"/>
      <c r="P200" s="55"/>
      <c r="Q200" s="25"/>
      <c r="X200" s="3"/>
      <c r="AB200" s="57"/>
      <c r="AC200" s="55"/>
      <c r="AD200" s="3"/>
      <c r="AI200" s="3"/>
      <c r="AJ200" s="3"/>
    </row>
    <row r="201" spans="1:36" ht="37.5" x14ac:dyDescent="0.3">
      <c r="A201" s="296" t="s">
        <v>1386</v>
      </c>
      <c r="B201" s="11" t="s">
        <v>1357</v>
      </c>
      <c r="C201" s="296" t="s">
        <v>239</v>
      </c>
      <c r="D201" s="44" t="s">
        <v>1375</v>
      </c>
      <c r="E201" s="11" t="s">
        <v>348</v>
      </c>
      <c r="F201" s="323">
        <f>F211-F158</f>
        <v>2524642</v>
      </c>
      <c r="G201" s="323"/>
      <c r="H201" s="3" t="s">
        <v>1528</v>
      </c>
      <c r="J201" s="3" t="str">
        <f t="shared" si="335"/>
        <v>13.1.2.1Bez MKN</v>
      </c>
      <c r="L201" s="57"/>
    </row>
    <row r="202" spans="1:36" ht="37.5" x14ac:dyDescent="0.3">
      <c r="A202" s="456" t="s">
        <v>1387</v>
      </c>
      <c r="B202" s="12" t="str">
        <f>VLOOKUP(A202,saīsinājumi_LV_ENG!A:G,5,FALSE)</f>
        <v>Izglītības iestāžu digitalizācija</v>
      </c>
      <c r="C202" s="296" t="s">
        <v>445</v>
      </c>
      <c r="D202" s="44" t="s">
        <v>1375</v>
      </c>
      <c r="E202" s="246" t="s">
        <v>348</v>
      </c>
      <c r="F202" s="323">
        <f>F212-F160</f>
        <v>0</v>
      </c>
      <c r="G202" s="323"/>
      <c r="H202" s="3" t="s">
        <v>1528</v>
      </c>
      <c r="J202" s="3" t="str">
        <f t="shared" si="335"/>
        <v>13.1.2.2Bez MKN</v>
      </c>
      <c r="L202" s="57"/>
    </row>
    <row r="203" spans="1:36" ht="37.5" x14ac:dyDescent="0.3">
      <c r="A203" s="456" t="s">
        <v>1377</v>
      </c>
      <c r="B203" s="12" t="str">
        <f>VLOOKUP(A203,saīsinājumi_LV_ENG!A:G,5,FALSE)</f>
        <v>Pašvaldību infrastruktūra energoefektivitāte</v>
      </c>
      <c r="C203" s="296" t="s">
        <v>267</v>
      </c>
      <c r="D203" s="44" t="s">
        <v>1375</v>
      </c>
      <c r="E203" s="246" t="s">
        <v>350</v>
      </c>
      <c r="F203" s="323">
        <f>F213-F161</f>
        <v>0</v>
      </c>
      <c r="G203" s="323"/>
      <c r="H203" s="3" t="s">
        <v>1528</v>
      </c>
      <c r="J203" s="3" t="str">
        <f t="shared" si="335"/>
        <v>13.1.3.1Bez MKN</v>
      </c>
      <c r="L203" s="57"/>
    </row>
    <row r="204" spans="1:36" ht="37.5" x14ac:dyDescent="0.3">
      <c r="A204" s="456" t="s">
        <v>1515</v>
      </c>
      <c r="B204" s="12" t="str">
        <f>VLOOKUP(A204,saīsinājumi_LV_ENG!A:G,5,FALSE)</f>
        <v>Atveseļošanas pasākumi veselības nozarē (ERAF)</v>
      </c>
      <c r="C204" s="296" t="s">
        <v>236</v>
      </c>
      <c r="D204" s="44" t="s">
        <v>1375</v>
      </c>
      <c r="E204" s="246" t="s">
        <v>352</v>
      </c>
      <c r="F204" s="323">
        <f>F217-F164</f>
        <v>0</v>
      </c>
      <c r="G204" s="323"/>
      <c r="H204" s="3" t="s">
        <v>1528</v>
      </c>
      <c r="J204" s="3" t="str">
        <f t="shared" si="335"/>
        <v>13.1.5Bez MKN</v>
      </c>
      <c r="L204" s="57"/>
    </row>
    <row r="205" spans="1:36" x14ac:dyDescent="0.3">
      <c r="A205" s="19" t="s">
        <v>1557</v>
      </c>
      <c r="L205" s="57"/>
    </row>
    <row r="207" spans="1:36" x14ac:dyDescent="0.3">
      <c r="A207" s="452" t="s">
        <v>1556</v>
      </c>
      <c r="B207" s="453"/>
      <c r="C207" s="453"/>
      <c r="D207" s="453"/>
      <c r="E207" s="453"/>
      <c r="F207" s="3" t="s">
        <v>625</v>
      </c>
    </row>
    <row r="208" spans="1:36" ht="56.25" x14ac:dyDescent="0.3">
      <c r="A208" s="447" t="s">
        <v>1376</v>
      </c>
      <c r="B208" s="448" t="str">
        <f>VLOOKUP(A208,saīsinājumi_LV_ENG!A:G,5,FALSE)</f>
        <v>Pasākumi Covid-19 pandēmijas seku mazināšanai (ERAF)</v>
      </c>
      <c r="C208" s="449" t="s">
        <v>1524</v>
      </c>
      <c r="D208" s="450" t="s">
        <v>344</v>
      </c>
      <c r="E208" s="450" t="s">
        <v>637</v>
      </c>
      <c r="F208" s="451">
        <f>SUM(F209:F218)</f>
        <v>199954500</v>
      </c>
      <c r="O208" s="3"/>
      <c r="W208" s="3"/>
      <c r="X208" s="3"/>
      <c r="AD208" s="3"/>
      <c r="AI208" s="3"/>
      <c r="AJ208" s="3"/>
    </row>
    <row r="209" spans="1:36" x14ac:dyDescent="0.3">
      <c r="A209" s="20" t="s">
        <v>1385</v>
      </c>
      <c r="B209" s="12" t="str">
        <f>VLOOKUP(A209,saīsinājumi_LV_ENG!A:G,5,FALSE)</f>
        <v>Aizdevumi MVK</v>
      </c>
      <c r="C209" s="12" t="s">
        <v>1559</v>
      </c>
      <c r="D209" s="11" t="s">
        <v>344</v>
      </c>
      <c r="E209" s="40" t="s">
        <v>349</v>
      </c>
      <c r="F209" s="323">
        <v>21059282</v>
      </c>
      <c r="J209" s="57"/>
      <c r="O209" s="3"/>
      <c r="W209" s="3"/>
      <c r="X209" s="3"/>
      <c r="AD209" s="3"/>
      <c r="AI209" s="3"/>
      <c r="AJ209" s="3"/>
    </row>
    <row r="210" spans="1:36" ht="37.5" x14ac:dyDescent="0.3">
      <c r="A210" s="20" t="s">
        <v>1378</v>
      </c>
      <c r="B210" s="12" t="str">
        <f>VLOOKUP(A210,saīsinājumi_LV_ENG!A:G,5,FALSE)</f>
        <v xml:space="preserve">Daudzdzīvokļu māju energoefektivitāte </v>
      </c>
      <c r="C210" s="11" t="s">
        <v>265</v>
      </c>
      <c r="D210" s="11" t="s">
        <v>344</v>
      </c>
      <c r="E210" s="40" t="s">
        <v>349</v>
      </c>
      <c r="F210" s="323">
        <v>29482994</v>
      </c>
      <c r="J210" s="57"/>
      <c r="O210" s="3"/>
      <c r="W210" s="3"/>
      <c r="X210" s="3"/>
      <c r="AD210" s="3"/>
      <c r="AI210" s="3"/>
      <c r="AJ210" s="3"/>
    </row>
    <row r="211" spans="1:36" x14ac:dyDescent="0.3">
      <c r="A211" s="20" t="s">
        <v>1386</v>
      </c>
      <c r="B211" s="11" t="s">
        <v>1357</v>
      </c>
      <c r="C211" s="296" t="s">
        <v>1551</v>
      </c>
      <c r="D211" s="11" t="s">
        <v>344</v>
      </c>
      <c r="E211" s="40" t="s">
        <v>348</v>
      </c>
      <c r="F211" s="323">
        <v>9266084</v>
      </c>
      <c r="J211" s="57"/>
      <c r="O211" s="3"/>
      <c r="W211" s="3"/>
      <c r="X211" s="3"/>
      <c r="AD211" s="3"/>
      <c r="AI211" s="3"/>
      <c r="AJ211" s="3"/>
    </row>
    <row r="212" spans="1:36" ht="37.5" x14ac:dyDescent="0.3">
      <c r="A212" s="20" t="s">
        <v>1387</v>
      </c>
      <c r="B212" s="12" t="str">
        <f>VLOOKUP(A212,saīsinājumi_LV_ENG!A:G,5,FALSE)</f>
        <v>Izglītības iestāžu digitalizācija</v>
      </c>
      <c r="C212" s="296" t="s">
        <v>445</v>
      </c>
      <c r="D212" s="11" t="s">
        <v>344</v>
      </c>
      <c r="E212" s="40" t="s">
        <v>348</v>
      </c>
      <c r="F212" s="323">
        <v>8895441</v>
      </c>
      <c r="J212" s="57"/>
      <c r="O212" s="3"/>
      <c r="W212" s="3"/>
      <c r="X212" s="3"/>
      <c r="AD212" s="3"/>
      <c r="AI212" s="3"/>
      <c r="AJ212" s="3"/>
    </row>
    <row r="213" spans="1:36" ht="37.5" x14ac:dyDescent="0.3">
      <c r="A213" s="20" t="s">
        <v>1377</v>
      </c>
      <c r="B213" s="12" t="str">
        <f>VLOOKUP(A213,saīsinājumi_LV_ENG!A:G,5,FALSE)</f>
        <v>Pašvaldību infrastruktūra energoefektivitāte</v>
      </c>
      <c r="C213" s="296" t="s">
        <v>267</v>
      </c>
      <c r="D213" s="11" t="s">
        <v>344</v>
      </c>
      <c r="E213" s="40" t="s">
        <v>350</v>
      </c>
      <c r="F213" s="323">
        <v>28808246</v>
      </c>
      <c r="J213" s="57"/>
      <c r="O213" s="3"/>
      <c r="W213" s="3"/>
      <c r="X213" s="3"/>
      <c r="AD213" s="3"/>
      <c r="AI213" s="3"/>
      <c r="AJ213" s="3"/>
    </row>
    <row r="214" spans="1:36" ht="37.5" x14ac:dyDescent="0.3">
      <c r="A214" s="94" t="s">
        <v>1388</v>
      </c>
      <c r="B214" s="12" t="str">
        <f>VLOOKUP(A214,saīsinājumi_LV_ENG!A:G,5,FALSE)</f>
        <v xml:space="preserve">Atkritumu atkārtota izmantošana </v>
      </c>
      <c r="C214" s="296" t="s">
        <v>276</v>
      </c>
      <c r="D214" s="11" t="s">
        <v>344</v>
      </c>
      <c r="E214" s="40" t="s">
        <v>350</v>
      </c>
      <c r="F214" s="323">
        <v>0</v>
      </c>
      <c r="J214" s="57"/>
      <c r="O214" s="3"/>
      <c r="W214" s="3"/>
      <c r="X214" s="3"/>
      <c r="AD214" s="3"/>
      <c r="AI214" s="3"/>
      <c r="AJ214" s="3"/>
    </row>
    <row r="215" spans="1:36" ht="56.25" x14ac:dyDescent="0.3">
      <c r="A215" s="20" t="s">
        <v>1389</v>
      </c>
      <c r="B215" s="12" t="str">
        <f>VLOOKUP(A215,saīsinājumi_LV_ENG!A:G,5,FALSE)</f>
        <v>Teritoriju revitalizācija uzņēmējdarbības veicināšanai pašvaldībās</v>
      </c>
      <c r="C215" s="296" t="s">
        <v>283</v>
      </c>
      <c r="D215" s="11" t="s">
        <v>344</v>
      </c>
      <c r="E215" s="40" t="s">
        <v>350</v>
      </c>
      <c r="F215" s="323">
        <v>24165500</v>
      </c>
      <c r="J215" s="57"/>
      <c r="O215" s="3"/>
      <c r="W215" s="3"/>
      <c r="X215" s="3"/>
      <c r="AD215" s="3"/>
      <c r="AI215" s="3"/>
      <c r="AJ215" s="3"/>
    </row>
    <row r="216" spans="1:36" ht="37.5" x14ac:dyDescent="0.3">
      <c r="A216" s="94" t="s">
        <v>1373</v>
      </c>
      <c r="B216" s="12" t="str">
        <f>VLOOKUP(A216,saīsinājumi_LV_ENG!A:G,5,FALSE)</f>
        <v>Atveseļošanas pasākumi kultūras jomā</v>
      </c>
      <c r="C216" s="296" t="s">
        <v>1555</v>
      </c>
      <c r="D216" s="11" t="s">
        <v>344</v>
      </c>
      <c r="E216" s="40" t="s">
        <v>355</v>
      </c>
      <c r="F216" s="323">
        <v>10108455</v>
      </c>
      <c r="J216" s="57"/>
      <c r="O216" s="3"/>
      <c r="W216" s="3"/>
      <c r="X216" s="3"/>
      <c r="AD216" s="3"/>
      <c r="AI216" s="3"/>
      <c r="AJ216" s="3"/>
    </row>
    <row r="217" spans="1:36" ht="37.5" x14ac:dyDescent="0.3">
      <c r="A217" s="20" t="s">
        <v>1515</v>
      </c>
      <c r="B217" s="12" t="str">
        <f>VLOOKUP(A217,saīsinājumi_LV_ENG!A:G,5,FALSE)</f>
        <v>Atveseļošanas pasākumi veselības nozarē (ERAF)</v>
      </c>
      <c r="C217" s="296" t="s">
        <v>236</v>
      </c>
      <c r="D217" s="11" t="s">
        <v>344</v>
      </c>
      <c r="E217" s="40" t="s">
        <v>352</v>
      </c>
      <c r="F217" s="323">
        <v>51573785</v>
      </c>
      <c r="J217" s="57"/>
      <c r="O217" s="3"/>
      <c r="W217" s="3"/>
      <c r="X217" s="3"/>
      <c r="AD217" s="3"/>
      <c r="AI217" s="3"/>
      <c r="AJ217" s="3"/>
    </row>
    <row r="218" spans="1:36" ht="75" x14ac:dyDescent="0.3">
      <c r="A218" s="20" t="s">
        <v>1516</v>
      </c>
      <c r="B218" s="12" t="s">
        <v>1548</v>
      </c>
      <c r="C218" s="296" t="s">
        <v>1549</v>
      </c>
      <c r="D218" s="11" t="s">
        <v>344</v>
      </c>
      <c r="E218" s="40" t="s">
        <v>349</v>
      </c>
      <c r="F218" s="323">
        <v>16594713</v>
      </c>
      <c r="J218" s="57"/>
      <c r="O218" s="3"/>
      <c r="W218" s="3"/>
      <c r="X218" s="3"/>
      <c r="AD218" s="3"/>
      <c r="AI218" s="3"/>
      <c r="AJ218" s="3"/>
    </row>
    <row r="219" spans="1:36" ht="56.25" x14ac:dyDescent="0.3">
      <c r="A219" s="447" t="s">
        <v>1500</v>
      </c>
      <c r="B219" s="448" t="str">
        <f>VLOOKUP(A219,saīsinājumi_LV_ENG!A:G,5,FALSE)</f>
        <v>Pasākumi Covid-19 pandēmijas seku mazināšanai (ESF)</v>
      </c>
      <c r="C219" s="449" t="s">
        <v>1524</v>
      </c>
      <c r="D219" s="450" t="s">
        <v>346</v>
      </c>
      <c r="E219" s="450" t="s">
        <v>637</v>
      </c>
      <c r="F219" s="451">
        <f>SUM(F220:F223)</f>
        <v>22489087</v>
      </c>
      <c r="J219" s="57"/>
      <c r="O219" s="3"/>
      <c r="W219" s="3"/>
      <c r="X219" s="3"/>
      <c r="AD219" s="3"/>
      <c r="AI219" s="3"/>
      <c r="AJ219" s="3"/>
    </row>
    <row r="220" spans="1:36" ht="56.25" x14ac:dyDescent="0.3">
      <c r="A220" s="20" t="s">
        <v>1390</v>
      </c>
      <c r="B220" s="12" t="str">
        <f>VLOOKUP(A220,saīsinājumi_LV_ENG!A:G,5,FALSE)</f>
        <v>Efektīvas pārvaldības nodrošināšana augstskolās</v>
      </c>
      <c r="C220" s="296" t="s">
        <v>1531</v>
      </c>
      <c r="D220" s="11" t="s">
        <v>346</v>
      </c>
      <c r="E220" s="40" t="s">
        <v>348</v>
      </c>
      <c r="F220" s="323">
        <v>5627882</v>
      </c>
      <c r="J220" s="57"/>
      <c r="O220" s="3"/>
      <c r="W220" s="3"/>
      <c r="X220" s="3"/>
      <c r="AD220" s="3"/>
      <c r="AI220" s="3"/>
      <c r="AJ220" s="3"/>
    </row>
    <row r="221" spans="1:36" x14ac:dyDescent="0.3">
      <c r="A221" s="20" t="s">
        <v>1391</v>
      </c>
      <c r="B221" s="12" t="str">
        <f>VLOOKUP(A221,saīsinājumi_LV_ENG!A:G,5,FALSE)</f>
        <v>Atbalsts NEET jauniešiem</v>
      </c>
      <c r="C221" s="296" t="s">
        <v>1530</v>
      </c>
      <c r="D221" s="11" t="s">
        <v>346</v>
      </c>
      <c r="E221" s="40" t="s">
        <v>348</v>
      </c>
      <c r="F221" s="323">
        <v>1074024</v>
      </c>
      <c r="J221" s="57"/>
      <c r="O221" s="3"/>
      <c r="W221" s="3"/>
      <c r="X221" s="3"/>
      <c r="AD221" s="3"/>
      <c r="AI221" s="3"/>
      <c r="AJ221" s="3"/>
    </row>
    <row r="222" spans="1:36" ht="37.5" x14ac:dyDescent="0.3">
      <c r="A222" s="94" t="s">
        <v>1520</v>
      </c>
      <c r="B222" s="12" t="str">
        <f>VLOOKUP(A222,saīsinājumi_LV_ENG!A:G,5,FALSE)</f>
        <v>Atveseļošanas pasākumi labklājības jomā (ESF)</v>
      </c>
      <c r="C222" s="443" t="s">
        <v>1546</v>
      </c>
      <c r="D222" s="11" t="s">
        <v>346</v>
      </c>
      <c r="E222" s="97" t="s">
        <v>351</v>
      </c>
      <c r="F222" s="323">
        <v>11527850</v>
      </c>
      <c r="J222" s="57"/>
      <c r="O222" s="3"/>
      <c r="W222" s="3"/>
      <c r="X222" s="3"/>
      <c r="AD222" s="3"/>
      <c r="AI222" s="3"/>
      <c r="AJ222" s="3"/>
    </row>
    <row r="223" spans="1:36" ht="37.5" x14ac:dyDescent="0.3">
      <c r="A223" s="20" t="s">
        <v>1521</v>
      </c>
      <c r="B223" s="12" t="str">
        <f>VLOOKUP(A223,saīsinājumi_LV_ENG!A:G,5,FALSE)</f>
        <v>Atveseļošanas pasākumi veselības nozarē (ESF)</v>
      </c>
      <c r="C223" s="296" t="s">
        <v>1294</v>
      </c>
      <c r="D223" s="11" t="s">
        <v>346</v>
      </c>
      <c r="E223" s="40" t="s">
        <v>352</v>
      </c>
      <c r="F223" s="323">
        <v>4259331</v>
      </c>
      <c r="J223" s="57"/>
      <c r="O223" s="3"/>
      <c r="W223" s="3"/>
      <c r="X223" s="3"/>
      <c r="AD223" s="3"/>
      <c r="AI223" s="3"/>
      <c r="AJ223" s="3"/>
    </row>
    <row r="224" spans="1:36" x14ac:dyDescent="0.3">
      <c r="A224" s="3"/>
      <c r="L224" s="57"/>
      <c r="O224" s="3"/>
      <c r="W224" s="3"/>
      <c r="X224" s="3"/>
      <c r="AD224" s="3"/>
      <c r="AI224" s="3"/>
      <c r="AJ224" s="3"/>
    </row>
  </sheetData>
  <autoFilter ref="A14:AL180" xr:uid="{00000000-0009-0000-0000-000007000000}"/>
  <phoneticPr fontId="69" type="noConversion"/>
  <pageMargins left="0.25" right="0.25" top="0.75" bottom="0.75" header="0.3" footer="0.3"/>
  <pageSetup paperSize="9" scale="27" fitToHeight="0" orientation="landscape" r:id="rId1"/>
  <headerFooter>
    <oddFooter>Page &amp;P of &amp;N</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6" tint="0.59999389629810485"/>
  </sheetPr>
  <dimension ref="B1:AJ240"/>
  <sheetViews>
    <sheetView showGridLines="0" zoomScale="70" zoomScaleNormal="70" workbookViewId="0">
      <pane ySplit="15" topLeftCell="A16" activePane="bottomLeft" state="frozen"/>
      <selection pane="bottomLeft" activeCell="E3" sqref="A1:XFD1048576"/>
    </sheetView>
  </sheetViews>
  <sheetFormatPr defaultRowHeight="15" x14ac:dyDescent="0.25"/>
  <cols>
    <col min="1" max="1" width="0.28515625" style="478" customWidth="1"/>
    <col min="2" max="2" width="8.7109375" style="478" customWidth="1"/>
    <col min="3" max="3" width="47.42578125" style="478" customWidth="1"/>
    <col min="4" max="6" width="16.140625" style="478" customWidth="1"/>
    <col min="7" max="7" width="13.5703125" style="478" customWidth="1"/>
    <col min="8" max="8" width="2.7109375" style="478" customWidth="1"/>
    <col min="9" max="9" width="13.5703125" style="478" customWidth="1"/>
    <col min="10" max="10" width="15.85546875" style="478" customWidth="1"/>
    <col min="11" max="11" width="15.5703125" style="478" customWidth="1"/>
    <col min="12" max="12" width="13.42578125" style="478" customWidth="1"/>
    <col min="13" max="13" width="14" style="478" customWidth="1"/>
    <col min="14" max="14" width="15.140625" style="478" customWidth="1"/>
    <col min="15" max="15" width="5.140625" style="478" customWidth="1"/>
    <col min="16" max="16" width="0" style="478" hidden="1" customWidth="1"/>
    <col min="17" max="17" width="10.140625" style="478" customWidth="1"/>
    <col min="18" max="18" width="16.85546875" style="478" customWidth="1"/>
    <col min="19" max="19" width="13.5703125" style="478" customWidth="1"/>
    <col min="20" max="21" width="13.42578125" style="478" customWidth="1"/>
    <col min="22" max="22" width="13.5703125" style="478" customWidth="1"/>
    <col min="23" max="24" width="13.42578125" style="478" customWidth="1"/>
    <col min="25" max="25" width="13.5703125" style="478" customWidth="1"/>
    <col min="26" max="26" width="13.42578125" style="478" customWidth="1"/>
    <col min="27" max="27" width="0" style="478" hidden="1" customWidth="1"/>
    <col min="28" max="29" width="13.42578125" style="478" customWidth="1"/>
    <col min="30" max="30" width="13.5703125" style="478" customWidth="1"/>
    <col min="31" max="32" width="13.42578125" style="478" customWidth="1"/>
    <col min="33" max="33" width="13.5703125" style="478" customWidth="1"/>
    <col min="34" max="36" width="13.42578125" style="478" customWidth="1"/>
    <col min="37" max="37" width="0" style="478" hidden="1" customWidth="1"/>
    <col min="38" max="38" width="55.7109375" style="478" customWidth="1"/>
    <col min="39" max="16384" width="9.140625" style="478"/>
  </cols>
  <sheetData>
    <row r="1" spans="2:36" ht="23.45" customHeight="1" x14ac:dyDescent="0.25">
      <c r="B1" s="556" t="s">
        <v>619</v>
      </c>
      <c r="C1" s="557"/>
    </row>
    <row r="2" spans="2:36" ht="15" customHeight="1" x14ac:dyDescent="0.25"/>
    <row r="3" spans="2:36" ht="45.75" customHeight="1" x14ac:dyDescent="0.25">
      <c r="B3" s="557"/>
      <c r="C3" s="557"/>
    </row>
    <row r="4" spans="2:36" ht="11.85" customHeight="1" x14ac:dyDescent="0.25"/>
    <row r="5" spans="2:36" ht="17.100000000000001" customHeight="1" x14ac:dyDescent="0.25">
      <c r="B5" s="558" t="s">
        <v>620</v>
      </c>
      <c r="C5" s="557"/>
      <c r="D5" s="563" t="s">
        <v>1292</v>
      </c>
      <c r="E5" s="557"/>
      <c r="F5" s="557"/>
      <c r="G5" s="557"/>
      <c r="H5" s="557"/>
      <c r="I5" s="557"/>
      <c r="J5" s="557"/>
      <c r="K5" s="557"/>
      <c r="L5" s="557"/>
      <c r="M5" s="557"/>
      <c r="N5" s="557"/>
      <c r="O5" s="557"/>
    </row>
    <row r="6" spans="2:36" ht="17.100000000000001" customHeight="1" x14ac:dyDescent="0.25">
      <c r="B6" s="558" t="s">
        <v>466</v>
      </c>
      <c r="C6" s="557"/>
      <c r="D6" s="563" t="s">
        <v>1610</v>
      </c>
      <c r="E6" s="557"/>
      <c r="F6" s="557"/>
      <c r="G6" s="557"/>
      <c r="H6" s="557"/>
      <c r="I6" s="557"/>
      <c r="J6" s="557"/>
      <c r="K6" s="557"/>
      <c r="L6" s="557"/>
      <c r="M6" s="557"/>
      <c r="N6" s="557"/>
      <c r="O6" s="557"/>
    </row>
    <row r="7" spans="2:36" ht="17.100000000000001" customHeight="1" x14ac:dyDescent="0.25">
      <c r="B7" s="558" t="s">
        <v>467</v>
      </c>
      <c r="C7" s="557"/>
      <c r="D7" s="563" t="s">
        <v>1612</v>
      </c>
      <c r="E7" s="557"/>
      <c r="F7" s="557"/>
      <c r="G7" s="557"/>
      <c r="H7" s="557"/>
      <c r="I7" s="557"/>
      <c r="J7" s="557"/>
      <c r="K7" s="557"/>
      <c r="L7" s="557"/>
      <c r="M7" s="557"/>
      <c r="N7" s="557"/>
      <c r="O7" s="557"/>
    </row>
    <row r="8" spans="2:36" ht="17.100000000000001" customHeight="1" x14ac:dyDescent="0.25">
      <c r="B8" s="558" t="s">
        <v>621</v>
      </c>
      <c r="C8" s="557"/>
      <c r="D8" s="563" t="s">
        <v>468</v>
      </c>
      <c r="E8" s="557"/>
      <c r="F8" s="557"/>
      <c r="G8" s="557"/>
      <c r="H8" s="557"/>
      <c r="I8" s="557"/>
      <c r="J8" s="557"/>
      <c r="K8" s="557"/>
      <c r="L8" s="557"/>
      <c r="M8" s="557"/>
      <c r="N8" s="557"/>
      <c r="O8" s="557"/>
    </row>
    <row r="9" spans="2:36" ht="17.100000000000001" customHeight="1" x14ac:dyDescent="0.25">
      <c r="B9" s="558" t="s">
        <v>622</v>
      </c>
      <c r="C9" s="557"/>
      <c r="D9" s="563" t="s">
        <v>468</v>
      </c>
      <c r="E9" s="557"/>
      <c r="F9" s="557"/>
      <c r="G9" s="557"/>
      <c r="H9" s="557"/>
      <c r="I9" s="557"/>
      <c r="J9" s="557"/>
      <c r="K9" s="557"/>
      <c r="L9" s="557"/>
      <c r="M9" s="557"/>
      <c r="N9" s="557"/>
      <c r="O9" s="557"/>
    </row>
    <row r="10" spans="2:36" ht="16.899999999999999" customHeight="1" x14ac:dyDescent="0.25">
      <c r="B10" s="558" t="s">
        <v>623</v>
      </c>
      <c r="C10" s="557"/>
      <c r="D10" s="563" t="s">
        <v>468</v>
      </c>
      <c r="E10" s="557"/>
      <c r="F10" s="557"/>
      <c r="G10" s="557"/>
      <c r="H10" s="557"/>
      <c r="I10" s="557"/>
      <c r="J10" s="557"/>
      <c r="K10" s="557"/>
      <c r="L10" s="557"/>
      <c r="M10" s="557"/>
      <c r="N10" s="557"/>
      <c r="O10" s="557"/>
    </row>
    <row r="11" spans="2:36" ht="0" hidden="1" customHeight="1" x14ac:dyDescent="0.25"/>
    <row r="12" spans="2:36" ht="7.15" customHeight="1" thickBot="1" x14ac:dyDescent="0.3"/>
    <row r="13" spans="2:36" ht="17.100000000000001" customHeight="1" thickBot="1" x14ac:dyDescent="0.3">
      <c r="B13" s="559" t="s">
        <v>154</v>
      </c>
      <c r="C13" s="560"/>
      <c r="D13" s="560"/>
      <c r="E13" s="561"/>
      <c r="F13" s="559" t="s">
        <v>156</v>
      </c>
      <c r="G13" s="560"/>
      <c r="H13" s="560"/>
      <c r="I13" s="560"/>
      <c r="J13" s="561"/>
      <c r="K13" s="559" t="s">
        <v>624</v>
      </c>
      <c r="L13" s="560"/>
      <c r="M13" s="560"/>
      <c r="N13" s="560"/>
      <c r="O13" s="560"/>
      <c r="P13" s="560"/>
      <c r="Q13" s="560"/>
      <c r="R13" s="561"/>
      <c r="S13" s="559" t="s">
        <v>150</v>
      </c>
      <c r="T13" s="560"/>
      <c r="U13" s="560"/>
      <c r="V13" s="560"/>
      <c r="W13" s="560"/>
      <c r="X13" s="561"/>
      <c r="Y13" s="559" t="s">
        <v>151</v>
      </c>
      <c r="Z13" s="560"/>
      <c r="AA13" s="560"/>
      <c r="AB13" s="560"/>
      <c r="AC13" s="560"/>
      <c r="AD13" s="560"/>
      <c r="AE13" s="561"/>
      <c r="AF13" s="559" t="s">
        <v>155</v>
      </c>
      <c r="AG13" s="560"/>
      <c r="AH13" s="560"/>
      <c r="AI13" s="560"/>
      <c r="AJ13" s="561"/>
    </row>
    <row r="14" spans="2:36" ht="77.25" thickBot="1" x14ac:dyDescent="0.3">
      <c r="B14" s="479" t="s">
        <v>469</v>
      </c>
      <c r="C14" s="479" t="s">
        <v>157</v>
      </c>
      <c r="D14" s="479" t="s">
        <v>2</v>
      </c>
      <c r="E14" s="479" t="s">
        <v>463</v>
      </c>
      <c r="F14" s="479" t="s">
        <v>625</v>
      </c>
      <c r="G14" s="479" t="s">
        <v>1360</v>
      </c>
      <c r="H14" s="559" t="s">
        <v>158</v>
      </c>
      <c r="I14" s="561"/>
      <c r="J14" s="479" t="s">
        <v>626</v>
      </c>
      <c r="K14" s="479" t="s">
        <v>470</v>
      </c>
      <c r="L14" s="479" t="s">
        <v>1360</v>
      </c>
      <c r="M14" s="479" t="s">
        <v>471</v>
      </c>
      <c r="N14" s="479" t="s">
        <v>426</v>
      </c>
      <c r="O14" s="559" t="s">
        <v>460</v>
      </c>
      <c r="P14" s="560"/>
      <c r="Q14" s="561"/>
      <c r="R14" s="479" t="s">
        <v>472</v>
      </c>
      <c r="S14" s="479" t="s">
        <v>470</v>
      </c>
      <c r="T14" s="479" t="s">
        <v>1360</v>
      </c>
      <c r="U14" s="479" t="s">
        <v>473</v>
      </c>
      <c r="V14" s="479" t="s">
        <v>426</v>
      </c>
      <c r="W14" s="479" t="s">
        <v>460</v>
      </c>
      <c r="X14" s="479" t="s">
        <v>472</v>
      </c>
      <c r="Y14" s="479" t="s">
        <v>470</v>
      </c>
      <c r="Z14" s="479" t="s">
        <v>1360</v>
      </c>
      <c r="AB14" s="479" t="s">
        <v>474</v>
      </c>
      <c r="AC14" s="479" t="s">
        <v>426</v>
      </c>
      <c r="AD14" s="479" t="s">
        <v>460</v>
      </c>
      <c r="AE14" s="479" t="s">
        <v>472</v>
      </c>
      <c r="AF14" s="479" t="s">
        <v>475</v>
      </c>
      <c r="AG14" s="479" t="s">
        <v>1360</v>
      </c>
      <c r="AH14" s="479" t="s">
        <v>476</v>
      </c>
      <c r="AI14" s="479" t="s">
        <v>426</v>
      </c>
      <c r="AJ14" s="479" t="s">
        <v>460</v>
      </c>
    </row>
    <row r="15" spans="2:36" ht="15.75" thickBot="1" x14ac:dyDescent="0.3">
      <c r="B15" s="479" t="s">
        <v>0</v>
      </c>
      <c r="C15" s="479" t="s">
        <v>4</v>
      </c>
      <c r="D15" s="479" t="s">
        <v>7</v>
      </c>
      <c r="E15" s="479" t="s">
        <v>153</v>
      </c>
      <c r="F15" s="479" t="s">
        <v>12</v>
      </c>
      <c r="G15" s="479" t="s">
        <v>1314</v>
      </c>
      <c r="H15" s="559" t="s">
        <v>10</v>
      </c>
      <c r="I15" s="561"/>
      <c r="J15" s="479" t="s">
        <v>627</v>
      </c>
      <c r="K15" s="479" t="s">
        <v>18</v>
      </c>
      <c r="L15" s="479" t="s">
        <v>1314</v>
      </c>
      <c r="M15" s="479" t="s">
        <v>628</v>
      </c>
      <c r="N15" s="479" t="s">
        <v>22</v>
      </c>
      <c r="O15" s="559" t="s">
        <v>23</v>
      </c>
      <c r="P15" s="560"/>
      <c r="Q15" s="561"/>
      <c r="R15" s="479" t="s">
        <v>24</v>
      </c>
      <c r="S15" s="479" t="s">
        <v>29</v>
      </c>
      <c r="T15" s="479" t="s">
        <v>1314</v>
      </c>
      <c r="U15" s="479" t="s">
        <v>629</v>
      </c>
      <c r="V15" s="479" t="s">
        <v>32</v>
      </c>
      <c r="W15" s="479" t="s">
        <v>45</v>
      </c>
      <c r="X15" s="479" t="s">
        <v>47</v>
      </c>
      <c r="Y15" s="479" t="s">
        <v>51</v>
      </c>
      <c r="Z15" s="479" t="s">
        <v>1314</v>
      </c>
      <c r="AB15" s="479" t="s">
        <v>630</v>
      </c>
      <c r="AC15" s="479" t="s">
        <v>53</v>
      </c>
      <c r="AD15" s="479" t="s">
        <v>54</v>
      </c>
      <c r="AE15" s="479" t="s">
        <v>55</v>
      </c>
      <c r="AF15" s="479" t="s">
        <v>71</v>
      </c>
      <c r="AG15" s="479" t="s">
        <v>1314</v>
      </c>
      <c r="AH15" s="479" t="s">
        <v>631</v>
      </c>
      <c r="AI15" s="479" t="s">
        <v>73</v>
      </c>
      <c r="AJ15" s="479" t="s">
        <v>74</v>
      </c>
    </row>
    <row r="16" spans="2:36" x14ac:dyDescent="0.25">
      <c r="B16" s="480"/>
      <c r="C16" s="480" t="s">
        <v>477</v>
      </c>
      <c r="D16" s="480"/>
      <c r="E16" s="480"/>
      <c r="F16" s="481">
        <v>4572937476.8800001</v>
      </c>
      <c r="G16" s="481">
        <v>263587859.16</v>
      </c>
      <c r="H16" s="562">
        <v>223410837</v>
      </c>
      <c r="I16" s="552"/>
      <c r="J16" s="481">
        <v>4796348313.8800001</v>
      </c>
      <c r="K16" s="481">
        <v>4337139615.21</v>
      </c>
      <c r="L16" s="481">
        <v>157226274.03</v>
      </c>
      <c r="M16" s="483">
        <v>0.94843623756892492</v>
      </c>
      <c r="N16" s="483">
        <v>0</v>
      </c>
      <c r="O16" s="564">
        <v>0</v>
      </c>
      <c r="P16" s="551"/>
      <c r="Q16" s="552"/>
      <c r="R16" s="480">
        <v>2449</v>
      </c>
      <c r="S16" s="481">
        <v>4337139615.21</v>
      </c>
      <c r="T16" s="481">
        <v>157226274.03</v>
      </c>
      <c r="U16" s="483">
        <v>0.94843623756892492</v>
      </c>
      <c r="V16" s="483">
        <v>0</v>
      </c>
      <c r="W16" s="483">
        <v>0</v>
      </c>
      <c r="X16" s="480">
        <v>2449</v>
      </c>
      <c r="Y16" s="481">
        <v>4337139615.21</v>
      </c>
      <c r="Z16" s="481">
        <v>157226274.03</v>
      </c>
      <c r="AB16" s="483">
        <v>0.94843623756892492</v>
      </c>
      <c r="AC16" s="483">
        <v>0</v>
      </c>
      <c r="AD16" s="483">
        <v>0</v>
      </c>
      <c r="AE16" s="480">
        <v>2449</v>
      </c>
      <c r="AF16" s="481">
        <v>4497693061.5600004</v>
      </c>
      <c r="AG16" s="481">
        <v>191498744.74000001</v>
      </c>
      <c r="AH16" s="483">
        <v>0.98354571526498602</v>
      </c>
      <c r="AI16" s="483">
        <v>-3.2801673051156872E-7</v>
      </c>
      <c r="AJ16" s="483">
        <v>-3.3350419408643292E-7</v>
      </c>
    </row>
    <row r="17" spans="2:36" x14ac:dyDescent="0.25">
      <c r="B17" s="480"/>
      <c r="C17" s="480" t="s">
        <v>229</v>
      </c>
      <c r="D17" s="480"/>
      <c r="E17" s="480"/>
      <c r="F17" s="481">
        <v>2620587420.8800001</v>
      </c>
      <c r="G17" s="481">
        <v>241098772.16</v>
      </c>
      <c r="H17" s="562">
        <v>41243234</v>
      </c>
      <c r="I17" s="552"/>
      <c r="J17" s="481">
        <v>2661830654.8800001</v>
      </c>
      <c r="K17" s="481">
        <v>2326466530.2399998</v>
      </c>
      <c r="L17" s="481">
        <v>135758439.81</v>
      </c>
      <c r="M17" s="483">
        <v>0.8877652818232511</v>
      </c>
      <c r="N17" s="483">
        <v>0</v>
      </c>
      <c r="O17" s="564">
        <v>0</v>
      </c>
      <c r="P17" s="551"/>
      <c r="Q17" s="552"/>
      <c r="R17" s="480">
        <v>1724</v>
      </c>
      <c r="S17" s="481">
        <v>2326466530.2399998</v>
      </c>
      <c r="T17" s="481">
        <v>135758439.81</v>
      </c>
      <c r="U17" s="483">
        <v>0.8877652818232511</v>
      </c>
      <c r="V17" s="483">
        <v>0</v>
      </c>
      <c r="W17" s="483">
        <v>0</v>
      </c>
      <c r="X17" s="480">
        <v>1724</v>
      </c>
      <c r="Y17" s="481">
        <v>2326466530.2399998</v>
      </c>
      <c r="Z17" s="481">
        <v>135758439.81</v>
      </c>
      <c r="AB17" s="483">
        <v>0.8877652818232511</v>
      </c>
      <c r="AC17" s="483">
        <v>0</v>
      </c>
      <c r="AD17" s="483">
        <v>0</v>
      </c>
      <c r="AE17" s="480">
        <v>1724</v>
      </c>
      <c r="AF17" s="481">
        <v>2485615446.6199999</v>
      </c>
      <c r="AG17" s="481">
        <v>170369875.22</v>
      </c>
      <c r="AH17" s="483">
        <v>0.94849552692477013</v>
      </c>
      <c r="AI17" s="483">
        <v>-5.7239075027548447E-7</v>
      </c>
      <c r="AJ17" s="483">
        <v>-6.0347190746335029E-7</v>
      </c>
    </row>
    <row r="18" spans="2:36" x14ac:dyDescent="0.25">
      <c r="B18" s="480"/>
      <c r="C18" s="480" t="s">
        <v>228</v>
      </c>
      <c r="D18" s="480"/>
      <c r="E18" s="480"/>
      <c r="F18" s="481">
        <v>676704825</v>
      </c>
      <c r="G18" s="481">
        <v>22489087</v>
      </c>
      <c r="H18" s="562">
        <v>1589796</v>
      </c>
      <c r="I18" s="552"/>
      <c r="J18" s="481">
        <v>678294621</v>
      </c>
      <c r="K18" s="481">
        <v>689209409.94000006</v>
      </c>
      <c r="L18" s="481">
        <v>21467834.219999999</v>
      </c>
      <c r="M18" s="483">
        <v>1.0184786401367834</v>
      </c>
      <c r="N18" s="483">
        <v>0</v>
      </c>
      <c r="O18" s="564">
        <v>0</v>
      </c>
      <c r="P18" s="551"/>
      <c r="Q18" s="552"/>
      <c r="R18" s="480">
        <v>329</v>
      </c>
      <c r="S18" s="481">
        <v>689209409.94000006</v>
      </c>
      <c r="T18" s="481">
        <v>21467834.219999999</v>
      </c>
      <c r="U18" s="483">
        <v>1.0184786401367834</v>
      </c>
      <c r="V18" s="483">
        <v>0</v>
      </c>
      <c r="W18" s="483">
        <v>0</v>
      </c>
      <c r="X18" s="480">
        <v>329</v>
      </c>
      <c r="Y18" s="481">
        <v>689209409.94000006</v>
      </c>
      <c r="Z18" s="481">
        <v>21467834.219999999</v>
      </c>
      <c r="AB18" s="483">
        <v>1.0184786401367834</v>
      </c>
      <c r="AC18" s="483">
        <v>0</v>
      </c>
      <c r="AD18" s="483">
        <v>0</v>
      </c>
      <c r="AE18" s="480">
        <v>329</v>
      </c>
      <c r="AF18" s="481">
        <v>688253704.79999995</v>
      </c>
      <c r="AG18" s="481">
        <v>21128869.52</v>
      </c>
      <c r="AH18" s="483">
        <v>1.0170663476501738</v>
      </c>
      <c r="AI18" s="483">
        <v>0</v>
      </c>
      <c r="AJ18" s="483">
        <v>0</v>
      </c>
    </row>
    <row r="19" spans="2:36" x14ac:dyDescent="0.25">
      <c r="B19" s="480"/>
      <c r="C19" s="480" t="s">
        <v>478</v>
      </c>
      <c r="D19" s="480"/>
      <c r="E19" s="480"/>
      <c r="F19" s="481">
        <v>29010639</v>
      </c>
      <c r="G19" s="481">
        <v>0</v>
      </c>
      <c r="H19" s="562">
        <v>0</v>
      </c>
      <c r="I19" s="552"/>
      <c r="J19" s="481">
        <v>29010639</v>
      </c>
      <c r="K19" s="481">
        <v>28810403.620000001</v>
      </c>
      <c r="L19" s="481">
        <v>0</v>
      </c>
      <c r="M19" s="483">
        <v>0.99309786385608401</v>
      </c>
      <c r="N19" s="483">
        <v>0</v>
      </c>
      <c r="O19" s="564">
        <v>0</v>
      </c>
      <c r="P19" s="551"/>
      <c r="Q19" s="552"/>
      <c r="R19" s="480">
        <v>2</v>
      </c>
      <c r="S19" s="481">
        <v>28810403.620000001</v>
      </c>
      <c r="T19" s="481">
        <v>0</v>
      </c>
      <c r="U19" s="483">
        <v>0.99309786385608401</v>
      </c>
      <c r="V19" s="483">
        <v>0</v>
      </c>
      <c r="W19" s="483">
        <v>0</v>
      </c>
      <c r="X19" s="480">
        <v>2</v>
      </c>
      <c r="Y19" s="481">
        <v>28810403.620000001</v>
      </c>
      <c r="Z19" s="481">
        <v>0</v>
      </c>
      <c r="AB19" s="483">
        <v>0.99309786385608401</v>
      </c>
      <c r="AC19" s="483">
        <v>0</v>
      </c>
      <c r="AD19" s="483">
        <v>0</v>
      </c>
      <c r="AE19" s="480">
        <v>2</v>
      </c>
      <c r="AF19" s="481">
        <v>28810403.620000001</v>
      </c>
      <c r="AG19" s="481">
        <v>0</v>
      </c>
      <c r="AH19" s="483">
        <v>0.99309786385608401</v>
      </c>
      <c r="AI19" s="483">
        <v>0</v>
      </c>
      <c r="AJ19" s="483">
        <v>0</v>
      </c>
    </row>
    <row r="20" spans="2:36" x14ac:dyDescent="0.25">
      <c r="B20" s="480"/>
      <c r="C20" s="480" t="s">
        <v>230</v>
      </c>
      <c r="D20" s="480"/>
      <c r="E20" s="480"/>
      <c r="F20" s="481">
        <v>1246634592</v>
      </c>
      <c r="G20" s="481">
        <v>0</v>
      </c>
      <c r="H20" s="562">
        <v>126478732</v>
      </c>
      <c r="I20" s="552"/>
      <c r="J20" s="481">
        <v>1373113324</v>
      </c>
      <c r="K20" s="481">
        <v>1292653271.4100001</v>
      </c>
      <c r="L20" s="481">
        <v>0</v>
      </c>
      <c r="M20" s="483">
        <v>1.0369143289503713</v>
      </c>
      <c r="N20" s="483">
        <v>0</v>
      </c>
      <c r="O20" s="564">
        <v>0</v>
      </c>
      <c r="P20" s="551"/>
      <c r="Q20" s="552"/>
      <c r="R20" s="480">
        <v>394</v>
      </c>
      <c r="S20" s="481">
        <v>1292653271.4100001</v>
      </c>
      <c r="T20" s="481">
        <v>0</v>
      </c>
      <c r="U20" s="483">
        <v>1.0369143289503713</v>
      </c>
      <c r="V20" s="483">
        <v>0</v>
      </c>
      <c r="W20" s="483">
        <v>0</v>
      </c>
      <c r="X20" s="480">
        <v>394</v>
      </c>
      <c r="Y20" s="481">
        <v>1292653271.4100001</v>
      </c>
      <c r="Z20" s="481">
        <v>0</v>
      </c>
      <c r="AB20" s="483">
        <v>1.0369143289503713</v>
      </c>
      <c r="AC20" s="483">
        <v>0</v>
      </c>
      <c r="AD20" s="483">
        <v>0</v>
      </c>
      <c r="AE20" s="480">
        <v>394</v>
      </c>
      <c r="AF20" s="481">
        <v>1295013506.52</v>
      </c>
      <c r="AG20" s="481">
        <v>0</v>
      </c>
      <c r="AH20" s="483">
        <v>1.0388076143807183</v>
      </c>
      <c r="AI20" s="483">
        <v>0</v>
      </c>
      <c r="AJ20" s="483">
        <v>0</v>
      </c>
    </row>
    <row r="21" spans="2:36" x14ac:dyDescent="0.25">
      <c r="B21" s="485" t="s">
        <v>238</v>
      </c>
      <c r="C21" s="485" t="s">
        <v>479</v>
      </c>
      <c r="D21" s="485"/>
      <c r="E21" s="485"/>
      <c r="F21" s="486">
        <v>448221139</v>
      </c>
      <c r="G21" s="486">
        <v>17456150</v>
      </c>
      <c r="H21" s="555">
        <v>2927032</v>
      </c>
      <c r="I21" s="552"/>
      <c r="J21" s="486">
        <v>451148171</v>
      </c>
      <c r="K21" s="486">
        <v>428439982.04000002</v>
      </c>
      <c r="L21" s="486">
        <v>8487304.0299999993</v>
      </c>
      <c r="M21" s="487">
        <v>0.95586741623982174</v>
      </c>
      <c r="N21" s="487">
        <v>0</v>
      </c>
      <c r="O21" s="550">
        <v>0</v>
      </c>
      <c r="P21" s="551"/>
      <c r="Q21" s="552"/>
      <c r="R21" s="485">
        <v>346</v>
      </c>
      <c r="S21" s="486">
        <v>428439982.04000002</v>
      </c>
      <c r="T21" s="486">
        <v>8487304.0299999993</v>
      </c>
      <c r="U21" s="487">
        <v>0.95586741623982174</v>
      </c>
      <c r="V21" s="487">
        <v>0</v>
      </c>
      <c r="W21" s="487">
        <v>0</v>
      </c>
      <c r="X21" s="485">
        <v>346</v>
      </c>
      <c r="Y21" s="486">
        <v>428439982.04000002</v>
      </c>
      <c r="Z21" s="486">
        <v>8487304.0299999993</v>
      </c>
      <c r="AB21" s="487">
        <v>0.95586741623982174</v>
      </c>
      <c r="AC21" s="487">
        <v>0</v>
      </c>
      <c r="AD21" s="487">
        <v>0</v>
      </c>
      <c r="AE21" s="485">
        <v>346</v>
      </c>
      <c r="AF21" s="486">
        <v>417969811.66000003</v>
      </c>
      <c r="AG21" s="486">
        <v>10062683.279999999</v>
      </c>
      <c r="AH21" s="487">
        <v>0.93250803072900135</v>
      </c>
      <c r="AI21" s="487">
        <v>-3.3465623762113548E-6</v>
      </c>
      <c r="AJ21" s="487">
        <v>-3.5887630518052863E-6</v>
      </c>
    </row>
    <row r="22" spans="2:36" ht="38.25" x14ac:dyDescent="0.25">
      <c r="B22" s="488" t="s">
        <v>480</v>
      </c>
      <c r="C22" s="488" t="s">
        <v>481</v>
      </c>
      <c r="D22" s="488"/>
      <c r="E22" s="488"/>
      <c r="F22" s="489">
        <v>291706975</v>
      </c>
      <c r="G22" s="489">
        <v>6741442</v>
      </c>
      <c r="H22" s="553">
        <v>2927032</v>
      </c>
      <c r="I22" s="552"/>
      <c r="J22" s="489">
        <v>294634007</v>
      </c>
      <c r="K22" s="489">
        <v>281929187.73000002</v>
      </c>
      <c r="L22" s="489">
        <v>6665621.9199999999</v>
      </c>
      <c r="M22" s="490">
        <v>0.96648079028621103</v>
      </c>
      <c r="N22" s="490">
        <v>0</v>
      </c>
      <c r="O22" s="554">
        <v>0</v>
      </c>
      <c r="P22" s="551"/>
      <c r="Q22" s="552"/>
      <c r="R22" s="488">
        <v>276</v>
      </c>
      <c r="S22" s="489">
        <v>281929187.73000002</v>
      </c>
      <c r="T22" s="489">
        <v>6665621.9199999999</v>
      </c>
      <c r="U22" s="490">
        <v>0.96648079028621103</v>
      </c>
      <c r="V22" s="490">
        <v>0</v>
      </c>
      <c r="W22" s="490">
        <v>0</v>
      </c>
      <c r="X22" s="488">
        <v>276</v>
      </c>
      <c r="Y22" s="489">
        <v>281929187.73000002</v>
      </c>
      <c r="Z22" s="489">
        <v>6665621.9199999999</v>
      </c>
      <c r="AB22" s="490">
        <v>0.96648079028621103</v>
      </c>
      <c r="AC22" s="490">
        <v>0</v>
      </c>
      <c r="AD22" s="490">
        <v>0</v>
      </c>
      <c r="AE22" s="488">
        <v>276</v>
      </c>
      <c r="AF22" s="489">
        <v>278585297.83999997</v>
      </c>
      <c r="AG22" s="489">
        <v>6665621.9199999999</v>
      </c>
      <c r="AH22" s="490">
        <v>0.95501760916069967</v>
      </c>
      <c r="AI22" s="490">
        <v>0</v>
      </c>
      <c r="AJ22" s="490">
        <v>0</v>
      </c>
    </row>
    <row r="23" spans="2:36" ht="38.25" x14ac:dyDescent="0.25">
      <c r="B23" s="488" t="s">
        <v>428</v>
      </c>
      <c r="C23" s="488" t="s">
        <v>482</v>
      </c>
      <c r="D23" s="488" t="s">
        <v>344</v>
      </c>
      <c r="E23" s="488" t="s">
        <v>483</v>
      </c>
      <c r="F23" s="489">
        <v>291706975</v>
      </c>
      <c r="G23" s="489">
        <v>6741442</v>
      </c>
      <c r="H23" s="553">
        <v>2927032</v>
      </c>
      <c r="I23" s="552"/>
      <c r="J23" s="489">
        <v>294634007</v>
      </c>
      <c r="K23" s="489">
        <v>281929187.73000002</v>
      </c>
      <c r="L23" s="489">
        <v>6665621.9199999999</v>
      </c>
      <c r="M23" s="490">
        <v>0.96648079028621103</v>
      </c>
      <c r="N23" s="490">
        <v>0</v>
      </c>
      <c r="O23" s="554">
        <v>0</v>
      </c>
      <c r="P23" s="551"/>
      <c r="Q23" s="552"/>
      <c r="R23" s="488">
        <v>276</v>
      </c>
      <c r="S23" s="489">
        <v>281929187.73000002</v>
      </c>
      <c r="T23" s="489">
        <v>6665621.9199999999</v>
      </c>
      <c r="U23" s="490">
        <v>0.96648079028621103</v>
      </c>
      <c r="V23" s="490">
        <v>0</v>
      </c>
      <c r="W23" s="490">
        <v>0</v>
      </c>
      <c r="X23" s="488">
        <v>276</v>
      </c>
      <c r="Y23" s="489">
        <v>281929187.73000002</v>
      </c>
      <c r="Z23" s="489">
        <v>6665621.9199999999</v>
      </c>
      <c r="AB23" s="490">
        <v>0.96648079028621103</v>
      </c>
      <c r="AC23" s="490">
        <v>0</v>
      </c>
      <c r="AD23" s="490">
        <v>0</v>
      </c>
      <c r="AE23" s="488">
        <v>276</v>
      </c>
      <c r="AF23" s="489">
        <v>278585297.83999997</v>
      </c>
      <c r="AG23" s="489">
        <v>6665621.9199999999</v>
      </c>
      <c r="AH23" s="490">
        <v>0.95501760916069967</v>
      </c>
      <c r="AI23" s="490">
        <v>0</v>
      </c>
      <c r="AJ23" s="490">
        <v>0</v>
      </c>
    </row>
    <row r="24" spans="2:36" ht="38.25" x14ac:dyDescent="0.25">
      <c r="B24" s="488" t="s">
        <v>239</v>
      </c>
      <c r="C24" s="488" t="s">
        <v>161</v>
      </c>
      <c r="D24" s="488" t="s">
        <v>344</v>
      </c>
      <c r="E24" s="488" t="s">
        <v>483</v>
      </c>
      <c r="F24" s="489">
        <v>94069872</v>
      </c>
      <c r="G24" s="489">
        <v>6741442</v>
      </c>
      <c r="H24" s="553">
        <v>2524642</v>
      </c>
      <c r="I24" s="552"/>
      <c r="J24" s="489">
        <v>96594514</v>
      </c>
      <c r="K24" s="489">
        <v>93197315</v>
      </c>
      <c r="L24" s="489">
        <v>6665621.9199999999</v>
      </c>
      <c r="M24" s="490">
        <v>0.99072437347421927</v>
      </c>
      <c r="N24" s="490">
        <v>0</v>
      </c>
      <c r="O24" s="554">
        <v>0</v>
      </c>
      <c r="P24" s="551"/>
      <c r="Q24" s="552"/>
      <c r="R24" s="488">
        <v>217</v>
      </c>
      <c r="S24" s="489">
        <v>93197315</v>
      </c>
      <c r="T24" s="489">
        <v>6665621.9199999999</v>
      </c>
      <c r="U24" s="490">
        <v>0.99072437347421927</v>
      </c>
      <c r="V24" s="490">
        <v>0</v>
      </c>
      <c r="W24" s="490">
        <v>0</v>
      </c>
      <c r="X24" s="488">
        <v>217</v>
      </c>
      <c r="Y24" s="489">
        <v>93197315</v>
      </c>
      <c r="Z24" s="489">
        <v>6665621.9199999999</v>
      </c>
      <c r="AB24" s="490">
        <v>0.99072437347421927</v>
      </c>
      <c r="AC24" s="490">
        <v>0</v>
      </c>
      <c r="AD24" s="490">
        <v>0</v>
      </c>
      <c r="AE24" s="488">
        <v>217</v>
      </c>
      <c r="AF24" s="489">
        <v>92334548.290000007</v>
      </c>
      <c r="AG24" s="489">
        <v>6665621.9199999999</v>
      </c>
      <c r="AH24" s="490">
        <v>0.9815528216090269</v>
      </c>
      <c r="AI24" s="490">
        <v>0</v>
      </c>
      <c r="AJ24" s="490">
        <v>0</v>
      </c>
    </row>
    <row r="25" spans="2:36" ht="38.25" x14ac:dyDescent="0.25">
      <c r="B25" s="488" t="s">
        <v>240</v>
      </c>
      <c r="C25" s="488" t="s">
        <v>162</v>
      </c>
      <c r="D25" s="488" t="s">
        <v>344</v>
      </c>
      <c r="E25" s="488" t="s">
        <v>483</v>
      </c>
      <c r="F25" s="489">
        <v>39898294</v>
      </c>
      <c r="G25" s="489">
        <v>0</v>
      </c>
      <c r="H25" s="553">
        <v>0</v>
      </c>
      <c r="I25" s="552"/>
      <c r="J25" s="489">
        <v>39898294</v>
      </c>
      <c r="K25" s="489">
        <v>38000134.719999999</v>
      </c>
      <c r="L25" s="489">
        <v>0</v>
      </c>
      <c r="M25" s="490">
        <v>0.95242505155734225</v>
      </c>
      <c r="N25" s="490">
        <v>0</v>
      </c>
      <c r="O25" s="554">
        <v>0</v>
      </c>
      <c r="P25" s="551"/>
      <c r="Q25" s="552"/>
      <c r="R25" s="488">
        <v>1</v>
      </c>
      <c r="S25" s="489">
        <v>38000134.719999999</v>
      </c>
      <c r="T25" s="489">
        <v>0</v>
      </c>
      <c r="U25" s="490">
        <v>0.95242505155734225</v>
      </c>
      <c r="V25" s="490">
        <v>0</v>
      </c>
      <c r="W25" s="490">
        <v>0</v>
      </c>
      <c r="X25" s="488">
        <v>1</v>
      </c>
      <c r="Y25" s="489">
        <v>38000134.719999999</v>
      </c>
      <c r="Z25" s="489">
        <v>0</v>
      </c>
      <c r="AB25" s="490">
        <v>0.95242505155734225</v>
      </c>
      <c r="AC25" s="490">
        <v>0</v>
      </c>
      <c r="AD25" s="490">
        <v>0</v>
      </c>
      <c r="AE25" s="488">
        <v>1</v>
      </c>
      <c r="AF25" s="489">
        <v>38000134.719999999</v>
      </c>
      <c r="AG25" s="489">
        <v>0</v>
      </c>
      <c r="AH25" s="490">
        <v>0.95242505155734225</v>
      </c>
      <c r="AI25" s="490">
        <v>0</v>
      </c>
      <c r="AJ25" s="490">
        <v>0</v>
      </c>
    </row>
    <row r="26" spans="2:36" ht="38.25" x14ac:dyDescent="0.25">
      <c r="B26" s="488" t="s">
        <v>241</v>
      </c>
      <c r="C26" s="488" t="s">
        <v>610</v>
      </c>
      <c r="D26" s="488" t="s">
        <v>344</v>
      </c>
      <c r="E26" s="488" t="s">
        <v>483</v>
      </c>
      <c r="F26" s="489">
        <v>15370399</v>
      </c>
      <c r="G26" s="489">
        <v>0</v>
      </c>
      <c r="H26" s="553">
        <v>0</v>
      </c>
      <c r="I26" s="552"/>
      <c r="J26" s="489">
        <v>15370399</v>
      </c>
      <c r="K26" s="489">
        <v>11654365.91</v>
      </c>
      <c r="L26" s="489">
        <v>0</v>
      </c>
      <c r="M26" s="490">
        <v>0.75823444205970192</v>
      </c>
      <c r="N26" s="490">
        <v>0</v>
      </c>
      <c r="O26" s="554">
        <v>0</v>
      </c>
      <c r="P26" s="551"/>
      <c r="Q26" s="552"/>
      <c r="R26" s="488">
        <v>11</v>
      </c>
      <c r="S26" s="489">
        <v>11654365.91</v>
      </c>
      <c r="T26" s="489">
        <v>0</v>
      </c>
      <c r="U26" s="490">
        <v>0.75823444205970192</v>
      </c>
      <c r="V26" s="490">
        <v>0</v>
      </c>
      <c r="W26" s="490">
        <v>0</v>
      </c>
      <c r="X26" s="488">
        <v>11</v>
      </c>
      <c r="Y26" s="489">
        <v>11654365.91</v>
      </c>
      <c r="Z26" s="489">
        <v>0</v>
      </c>
      <c r="AB26" s="490">
        <v>0.75823444205970192</v>
      </c>
      <c r="AC26" s="490">
        <v>0</v>
      </c>
      <c r="AD26" s="490">
        <v>0</v>
      </c>
      <c r="AE26" s="488">
        <v>11</v>
      </c>
      <c r="AF26" s="489">
        <v>10860993.67</v>
      </c>
      <c r="AG26" s="489">
        <v>0</v>
      </c>
      <c r="AH26" s="490">
        <v>0.70661754909550489</v>
      </c>
      <c r="AI26" s="490">
        <v>0</v>
      </c>
      <c r="AJ26" s="490">
        <v>0</v>
      </c>
    </row>
    <row r="27" spans="2:36" ht="38.25" x14ac:dyDescent="0.25">
      <c r="B27" s="488" t="s">
        <v>242</v>
      </c>
      <c r="C27" s="488" t="s">
        <v>164</v>
      </c>
      <c r="D27" s="488" t="s">
        <v>344</v>
      </c>
      <c r="E27" s="488" t="s">
        <v>483</v>
      </c>
      <c r="F27" s="489">
        <v>111692482</v>
      </c>
      <c r="G27" s="489">
        <v>0</v>
      </c>
      <c r="H27" s="553">
        <v>0</v>
      </c>
      <c r="I27" s="552"/>
      <c r="J27" s="489">
        <v>111692482</v>
      </c>
      <c r="K27" s="489">
        <v>111452668.62</v>
      </c>
      <c r="L27" s="489">
        <v>0</v>
      </c>
      <c r="M27" s="490">
        <v>0.99785291386039754</v>
      </c>
      <c r="N27" s="490">
        <v>0</v>
      </c>
      <c r="O27" s="554">
        <v>0</v>
      </c>
      <c r="P27" s="551"/>
      <c r="Q27" s="552"/>
      <c r="R27" s="488">
        <v>14</v>
      </c>
      <c r="S27" s="489">
        <v>111452668.62</v>
      </c>
      <c r="T27" s="489">
        <v>0</v>
      </c>
      <c r="U27" s="490">
        <v>0.99785291386039754</v>
      </c>
      <c r="V27" s="490">
        <v>0</v>
      </c>
      <c r="W27" s="490">
        <v>0</v>
      </c>
      <c r="X27" s="488">
        <v>14</v>
      </c>
      <c r="Y27" s="489">
        <v>111452668.62</v>
      </c>
      <c r="Z27" s="489">
        <v>0</v>
      </c>
      <c r="AB27" s="490">
        <v>0.99785291386039754</v>
      </c>
      <c r="AC27" s="490">
        <v>0</v>
      </c>
      <c r="AD27" s="490">
        <v>0</v>
      </c>
      <c r="AE27" s="488">
        <v>14</v>
      </c>
      <c r="AF27" s="489">
        <v>109826066.93000001</v>
      </c>
      <c r="AG27" s="489">
        <v>0</v>
      </c>
      <c r="AH27" s="490">
        <v>0.98328969831649005</v>
      </c>
      <c r="AI27" s="490">
        <v>0</v>
      </c>
      <c r="AJ27" s="490">
        <v>0</v>
      </c>
    </row>
    <row r="28" spans="2:36" ht="38.25" x14ac:dyDescent="0.25">
      <c r="B28" s="488" t="s">
        <v>243</v>
      </c>
      <c r="C28" s="488" t="s">
        <v>165</v>
      </c>
      <c r="D28" s="488" t="s">
        <v>344</v>
      </c>
      <c r="E28" s="488" t="s">
        <v>483</v>
      </c>
      <c r="F28" s="489">
        <v>30675928</v>
      </c>
      <c r="G28" s="489">
        <v>0</v>
      </c>
      <c r="H28" s="553">
        <v>402390</v>
      </c>
      <c r="I28" s="552"/>
      <c r="J28" s="489">
        <v>31078318</v>
      </c>
      <c r="K28" s="489">
        <v>27624703.48</v>
      </c>
      <c r="L28" s="489">
        <v>0</v>
      </c>
      <c r="M28" s="490">
        <v>0.90053358711756004</v>
      </c>
      <c r="N28" s="490">
        <v>0</v>
      </c>
      <c r="O28" s="554">
        <v>0</v>
      </c>
      <c r="P28" s="551"/>
      <c r="Q28" s="552"/>
      <c r="R28" s="488">
        <v>33</v>
      </c>
      <c r="S28" s="489">
        <v>27624703.48</v>
      </c>
      <c r="T28" s="489">
        <v>0</v>
      </c>
      <c r="U28" s="490">
        <v>0.90053358711756004</v>
      </c>
      <c r="V28" s="490">
        <v>0</v>
      </c>
      <c r="W28" s="490">
        <v>0</v>
      </c>
      <c r="X28" s="488">
        <v>33</v>
      </c>
      <c r="Y28" s="489">
        <v>27624703.48</v>
      </c>
      <c r="Z28" s="489">
        <v>0</v>
      </c>
      <c r="AB28" s="490">
        <v>0.90053358711756004</v>
      </c>
      <c r="AC28" s="490">
        <v>0</v>
      </c>
      <c r="AD28" s="490">
        <v>0</v>
      </c>
      <c r="AE28" s="488">
        <v>33</v>
      </c>
      <c r="AF28" s="489">
        <v>27563554.23</v>
      </c>
      <c r="AG28" s="489">
        <v>0</v>
      </c>
      <c r="AH28" s="490">
        <v>0.89854019184032508</v>
      </c>
      <c r="AI28" s="490">
        <v>0</v>
      </c>
      <c r="AJ28" s="490">
        <v>0</v>
      </c>
    </row>
    <row r="29" spans="2:36" ht="191.25" x14ac:dyDescent="0.25">
      <c r="B29" s="488" t="s">
        <v>484</v>
      </c>
      <c r="C29" s="488" t="s">
        <v>485</v>
      </c>
      <c r="D29" s="488"/>
      <c r="E29" s="488"/>
      <c r="F29" s="489">
        <v>173970314</v>
      </c>
      <c r="G29" s="489">
        <v>10714708</v>
      </c>
      <c r="H29" s="553">
        <v>0</v>
      </c>
      <c r="I29" s="552"/>
      <c r="J29" s="489">
        <v>173970314</v>
      </c>
      <c r="K29" s="489">
        <v>146510794.31</v>
      </c>
      <c r="L29" s="489">
        <v>1821682.11</v>
      </c>
      <c r="M29" s="490">
        <v>0.84215973944842104</v>
      </c>
      <c r="N29" s="490">
        <v>0</v>
      </c>
      <c r="O29" s="554">
        <v>0</v>
      </c>
      <c r="P29" s="551"/>
      <c r="Q29" s="552"/>
      <c r="R29" s="488">
        <v>70</v>
      </c>
      <c r="S29" s="489">
        <v>146510794.31</v>
      </c>
      <c r="T29" s="489">
        <v>1821682.11</v>
      </c>
      <c r="U29" s="490">
        <v>0.84215973944842104</v>
      </c>
      <c r="V29" s="490">
        <v>0</v>
      </c>
      <c r="W29" s="490">
        <v>0</v>
      </c>
      <c r="X29" s="488">
        <v>70</v>
      </c>
      <c r="Y29" s="489">
        <v>146510794.31</v>
      </c>
      <c r="Z29" s="489">
        <v>1821682.11</v>
      </c>
      <c r="AB29" s="490">
        <v>0.84215973944842104</v>
      </c>
      <c r="AC29" s="490">
        <v>0</v>
      </c>
      <c r="AD29" s="490">
        <v>0</v>
      </c>
      <c r="AE29" s="488">
        <v>70</v>
      </c>
      <c r="AF29" s="489">
        <v>139384513.81999999</v>
      </c>
      <c r="AG29" s="489">
        <v>3397061.36</v>
      </c>
      <c r="AH29" s="490">
        <v>0.80119711584816711</v>
      </c>
      <c r="AI29" s="490">
        <v>-8.622160675067816E-6</v>
      </c>
      <c r="AJ29" s="490">
        <v>-1.0761481434837979E-5</v>
      </c>
    </row>
    <row r="30" spans="2:36" ht="25.5" x14ac:dyDescent="0.25">
      <c r="B30" s="488" t="s">
        <v>429</v>
      </c>
      <c r="C30" s="488" t="s">
        <v>486</v>
      </c>
      <c r="D30" s="488" t="s">
        <v>344</v>
      </c>
      <c r="E30" s="488" t="s">
        <v>487</v>
      </c>
      <c r="F30" s="489">
        <v>139060328</v>
      </c>
      <c r="G30" s="489">
        <v>0</v>
      </c>
      <c r="H30" s="553">
        <v>0</v>
      </c>
      <c r="I30" s="552"/>
      <c r="J30" s="489">
        <v>139060328</v>
      </c>
      <c r="K30" s="489">
        <v>124890083.38</v>
      </c>
      <c r="L30" s="489">
        <v>0</v>
      </c>
      <c r="M30" s="490">
        <v>0.8981000201581576</v>
      </c>
      <c r="N30" s="490">
        <v>0</v>
      </c>
      <c r="O30" s="554">
        <v>0</v>
      </c>
      <c r="P30" s="551"/>
      <c r="Q30" s="552"/>
      <c r="R30" s="488">
        <v>51</v>
      </c>
      <c r="S30" s="489">
        <v>124890083.38</v>
      </c>
      <c r="T30" s="489">
        <v>0</v>
      </c>
      <c r="U30" s="490">
        <v>0.8981000201581576</v>
      </c>
      <c r="V30" s="490">
        <v>0</v>
      </c>
      <c r="W30" s="490">
        <v>0</v>
      </c>
      <c r="X30" s="488">
        <v>51</v>
      </c>
      <c r="Y30" s="489">
        <v>124890083.38</v>
      </c>
      <c r="Z30" s="489">
        <v>0</v>
      </c>
      <c r="AB30" s="490">
        <v>0.8981000201581576</v>
      </c>
      <c r="AC30" s="490">
        <v>0</v>
      </c>
      <c r="AD30" s="490">
        <v>0</v>
      </c>
      <c r="AE30" s="488">
        <v>51</v>
      </c>
      <c r="AF30" s="489">
        <v>117684915.28</v>
      </c>
      <c r="AG30" s="489">
        <v>0</v>
      </c>
      <c r="AH30" s="490">
        <v>0.84628676612930176</v>
      </c>
      <c r="AI30" s="490">
        <v>0</v>
      </c>
      <c r="AJ30" s="490">
        <v>0</v>
      </c>
    </row>
    <row r="31" spans="2:36" ht="25.5" x14ac:dyDescent="0.25">
      <c r="B31" s="488" t="s">
        <v>244</v>
      </c>
      <c r="C31" s="488" t="s">
        <v>166</v>
      </c>
      <c r="D31" s="488" t="s">
        <v>344</v>
      </c>
      <c r="E31" s="488" t="s">
        <v>487</v>
      </c>
      <c r="F31" s="489">
        <v>63150605</v>
      </c>
      <c r="G31" s="489">
        <v>0</v>
      </c>
      <c r="H31" s="553">
        <v>0</v>
      </c>
      <c r="I31" s="552"/>
      <c r="J31" s="489">
        <v>63150605</v>
      </c>
      <c r="K31" s="489">
        <v>62365526.159999996</v>
      </c>
      <c r="L31" s="489">
        <v>0</v>
      </c>
      <c r="M31" s="490">
        <v>0.98756815013886246</v>
      </c>
      <c r="N31" s="490">
        <v>0</v>
      </c>
      <c r="O31" s="554">
        <v>0</v>
      </c>
      <c r="P31" s="551"/>
      <c r="Q31" s="552"/>
      <c r="R31" s="488">
        <v>17</v>
      </c>
      <c r="S31" s="489">
        <v>62365526.159999996</v>
      </c>
      <c r="T31" s="489">
        <v>0</v>
      </c>
      <c r="U31" s="490">
        <v>0.98756815013886246</v>
      </c>
      <c r="V31" s="490">
        <v>0</v>
      </c>
      <c r="W31" s="490">
        <v>0</v>
      </c>
      <c r="X31" s="488">
        <v>17</v>
      </c>
      <c r="Y31" s="489">
        <v>62365526.159999996</v>
      </c>
      <c r="Z31" s="489">
        <v>0</v>
      </c>
      <c r="AB31" s="490">
        <v>0.98756815013886246</v>
      </c>
      <c r="AC31" s="490">
        <v>0</v>
      </c>
      <c r="AD31" s="490">
        <v>0</v>
      </c>
      <c r="AE31" s="488">
        <v>17</v>
      </c>
      <c r="AF31" s="489">
        <v>55386298.799999997</v>
      </c>
      <c r="AG31" s="489">
        <v>0</v>
      </c>
      <c r="AH31" s="490">
        <v>0.877050960952789</v>
      </c>
      <c r="AI31" s="490">
        <v>0</v>
      </c>
      <c r="AJ31" s="490">
        <v>0</v>
      </c>
    </row>
    <row r="32" spans="2:36" ht="25.5" x14ac:dyDescent="0.25">
      <c r="B32" s="488" t="s">
        <v>245</v>
      </c>
      <c r="C32" s="488" t="s">
        <v>167</v>
      </c>
      <c r="D32" s="488" t="s">
        <v>344</v>
      </c>
      <c r="E32" s="488" t="s">
        <v>487</v>
      </c>
      <c r="F32" s="489">
        <v>30779847</v>
      </c>
      <c r="G32" s="489">
        <v>0</v>
      </c>
      <c r="H32" s="553">
        <v>0</v>
      </c>
      <c r="I32" s="552"/>
      <c r="J32" s="489">
        <v>30779847</v>
      </c>
      <c r="K32" s="489">
        <v>25069741.940000001</v>
      </c>
      <c r="L32" s="489">
        <v>0</v>
      </c>
      <c r="M32" s="490">
        <v>0.81448559312201907</v>
      </c>
      <c r="N32" s="490">
        <v>0</v>
      </c>
      <c r="O32" s="554">
        <v>0</v>
      </c>
      <c r="P32" s="551"/>
      <c r="Q32" s="552"/>
      <c r="R32" s="488">
        <v>1</v>
      </c>
      <c r="S32" s="489">
        <v>25069741.940000001</v>
      </c>
      <c r="T32" s="489">
        <v>0</v>
      </c>
      <c r="U32" s="490">
        <v>0.81448559312201907</v>
      </c>
      <c r="V32" s="490">
        <v>0</v>
      </c>
      <c r="W32" s="490">
        <v>0</v>
      </c>
      <c r="X32" s="488">
        <v>1</v>
      </c>
      <c r="Y32" s="489">
        <v>25069741.940000001</v>
      </c>
      <c r="Z32" s="489">
        <v>0</v>
      </c>
      <c r="AB32" s="490">
        <v>0.81448559312201907</v>
      </c>
      <c r="AC32" s="490">
        <v>0</v>
      </c>
      <c r="AD32" s="490">
        <v>0</v>
      </c>
      <c r="AE32" s="488">
        <v>1</v>
      </c>
      <c r="AF32" s="489">
        <v>25069741.940000001</v>
      </c>
      <c r="AG32" s="489">
        <v>0</v>
      </c>
      <c r="AH32" s="490">
        <v>0.81448559312201907</v>
      </c>
      <c r="AI32" s="490">
        <v>0</v>
      </c>
      <c r="AJ32" s="490">
        <v>0</v>
      </c>
    </row>
    <row r="33" spans="2:36" ht="25.5" x14ac:dyDescent="0.25">
      <c r="B33" s="488" t="s">
        <v>246</v>
      </c>
      <c r="C33" s="488" t="s">
        <v>168</v>
      </c>
      <c r="D33" s="488" t="s">
        <v>344</v>
      </c>
      <c r="E33" s="488" t="s">
        <v>487</v>
      </c>
      <c r="F33" s="489">
        <v>45129876</v>
      </c>
      <c r="G33" s="489">
        <v>0</v>
      </c>
      <c r="H33" s="553">
        <v>0</v>
      </c>
      <c r="I33" s="552"/>
      <c r="J33" s="489">
        <v>45129876</v>
      </c>
      <c r="K33" s="489">
        <v>37454815.280000001</v>
      </c>
      <c r="L33" s="489">
        <v>0</v>
      </c>
      <c r="M33" s="490">
        <v>0.82993392846902569</v>
      </c>
      <c r="N33" s="490">
        <v>0</v>
      </c>
      <c r="O33" s="554">
        <v>0</v>
      </c>
      <c r="P33" s="551"/>
      <c r="Q33" s="552"/>
      <c r="R33" s="488">
        <v>33</v>
      </c>
      <c r="S33" s="489">
        <v>37454815.280000001</v>
      </c>
      <c r="T33" s="489">
        <v>0</v>
      </c>
      <c r="U33" s="490">
        <v>0.82993392846902569</v>
      </c>
      <c r="V33" s="490">
        <v>0</v>
      </c>
      <c r="W33" s="490">
        <v>0</v>
      </c>
      <c r="X33" s="488">
        <v>33</v>
      </c>
      <c r="Y33" s="489">
        <v>37454815.280000001</v>
      </c>
      <c r="Z33" s="489">
        <v>0</v>
      </c>
      <c r="AB33" s="490">
        <v>0.82993392846902569</v>
      </c>
      <c r="AC33" s="490">
        <v>0</v>
      </c>
      <c r="AD33" s="490">
        <v>0</v>
      </c>
      <c r="AE33" s="488">
        <v>33</v>
      </c>
      <c r="AF33" s="489">
        <v>37228874.539999999</v>
      </c>
      <c r="AG33" s="489">
        <v>0</v>
      </c>
      <c r="AH33" s="490">
        <v>0.82492747243533304</v>
      </c>
      <c r="AI33" s="490">
        <v>0</v>
      </c>
      <c r="AJ33" s="490">
        <v>0</v>
      </c>
    </row>
    <row r="34" spans="2:36" ht="25.5" x14ac:dyDescent="0.25">
      <c r="B34" s="488" t="s">
        <v>430</v>
      </c>
      <c r="C34" s="488" t="s">
        <v>488</v>
      </c>
      <c r="D34" s="488" t="s">
        <v>344</v>
      </c>
      <c r="E34" s="488" t="s">
        <v>487</v>
      </c>
      <c r="F34" s="489">
        <v>34909986</v>
      </c>
      <c r="G34" s="489">
        <v>10714708</v>
      </c>
      <c r="H34" s="553">
        <v>0</v>
      </c>
      <c r="I34" s="552"/>
      <c r="J34" s="489">
        <v>34909986</v>
      </c>
      <c r="K34" s="489">
        <v>21620710.93</v>
      </c>
      <c r="L34" s="489">
        <v>1821682.11</v>
      </c>
      <c r="M34" s="490">
        <v>0.61932740190729385</v>
      </c>
      <c r="N34" s="490">
        <v>0</v>
      </c>
      <c r="O34" s="554">
        <v>0</v>
      </c>
      <c r="P34" s="551"/>
      <c r="Q34" s="552"/>
      <c r="R34" s="488">
        <v>19</v>
      </c>
      <c r="S34" s="489">
        <v>21620710.93</v>
      </c>
      <c r="T34" s="489">
        <v>1821682.11</v>
      </c>
      <c r="U34" s="490">
        <v>0.61932740190729385</v>
      </c>
      <c r="V34" s="490">
        <v>0</v>
      </c>
      <c r="W34" s="490">
        <v>0</v>
      </c>
      <c r="X34" s="488">
        <v>19</v>
      </c>
      <c r="Y34" s="489">
        <v>21620710.93</v>
      </c>
      <c r="Z34" s="489">
        <v>1821682.11</v>
      </c>
      <c r="AB34" s="490">
        <v>0.61932740190729385</v>
      </c>
      <c r="AC34" s="490">
        <v>0</v>
      </c>
      <c r="AD34" s="490">
        <v>0</v>
      </c>
      <c r="AE34" s="488">
        <v>19</v>
      </c>
      <c r="AF34" s="489">
        <v>21699598.539999999</v>
      </c>
      <c r="AG34" s="489">
        <v>3397061.36</v>
      </c>
      <c r="AH34" s="490">
        <v>0.62158714529418602</v>
      </c>
      <c r="AI34" s="490">
        <v>-4.2967648282643256E-5</v>
      </c>
      <c r="AJ34" s="490">
        <v>-6.912092478798541E-5</v>
      </c>
    </row>
    <row r="35" spans="2:36" ht="38.25" x14ac:dyDescent="0.25">
      <c r="B35" s="488" t="s">
        <v>247</v>
      </c>
      <c r="C35" s="488" t="s">
        <v>1568</v>
      </c>
      <c r="D35" s="488" t="s">
        <v>344</v>
      </c>
      <c r="E35" s="488" t="s">
        <v>487</v>
      </c>
      <c r="F35" s="489">
        <v>22502253</v>
      </c>
      <c r="G35" s="489">
        <v>7766409</v>
      </c>
      <c r="H35" s="553">
        <v>0</v>
      </c>
      <c r="I35" s="552"/>
      <c r="J35" s="489">
        <v>22502253</v>
      </c>
      <c r="K35" s="489">
        <v>12272077.34</v>
      </c>
      <c r="L35" s="489">
        <v>1821682.11</v>
      </c>
      <c r="M35" s="490">
        <v>0.54537104973444217</v>
      </c>
      <c r="N35" s="490">
        <v>0</v>
      </c>
      <c r="O35" s="554">
        <v>0</v>
      </c>
      <c r="P35" s="551"/>
      <c r="Q35" s="552"/>
      <c r="R35" s="488">
        <v>15</v>
      </c>
      <c r="S35" s="489">
        <v>12272077.34</v>
      </c>
      <c r="T35" s="489">
        <v>1821682.11</v>
      </c>
      <c r="U35" s="490">
        <v>0.54537104973444217</v>
      </c>
      <c r="V35" s="490">
        <v>0</v>
      </c>
      <c r="W35" s="490">
        <v>0</v>
      </c>
      <c r="X35" s="488">
        <v>15</v>
      </c>
      <c r="Y35" s="489">
        <v>12272077.34</v>
      </c>
      <c r="Z35" s="489">
        <v>1821682.11</v>
      </c>
      <c r="AB35" s="490">
        <v>0.54537104973444217</v>
      </c>
      <c r="AC35" s="490">
        <v>0</v>
      </c>
      <c r="AD35" s="490">
        <v>0</v>
      </c>
      <c r="AE35" s="488">
        <v>15</v>
      </c>
      <c r="AF35" s="489">
        <v>12275043.91</v>
      </c>
      <c r="AG35" s="489">
        <v>1776967.47</v>
      </c>
      <c r="AH35" s="490">
        <v>0.54550288408898429</v>
      </c>
      <c r="AI35" s="490">
        <v>0</v>
      </c>
      <c r="AJ35" s="490">
        <v>0</v>
      </c>
    </row>
    <row r="36" spans="2:36" ht="25.5" x14ac:dyDescent="0.25">
      <c r="B36" s="488" t="s">
        <v>248</v>
      </c>
      <c r="C36" s="488" t="s">
        <v>170</v>
      </c>
      <c r="D36" s="488" t="s">
        <v>344</v>
      </c>
      <c r="E36" s="488" t="s">
        <v>487</v>
      </c>
      <c r="F36" s="489">
        <v>4801192</v>
      </c>
      <c r="G36" s="489">
        <v>0</v>
      </c>
      <c r="H36" s="553">
        <v>0</v>
      </c>
      <c r="I36" s="552"/>
      <c r="J36" s="489">
        <v>4801192</v>
      </c>
      <c r="K36" s="489">
        <v>4785304.3499999996</v>
      </c>
      <c r="L36" s="489">
        <v>0</v>
      </c>
      <c r="M36" s="490">
        <v>0.99669089467782168</v>
      </c>
      <c r="N36" s="490">
        <v>0</v>
      </c>
      <c r="O36" s="554">
        <v>0</v>
      </c>
      <c r="P36" s="551"/>
      <c r="Q36" s="552"/>
      <c r="R36" s="488">
        <v>1</v>
      </c>
      <c r="S36" s="489">
        <v>4785304.3499999996</v>
      </c>
      <c r="T36" s="489">
        <v>0</v>
      </c>
      <c r="U36" s="490">
        <v>0.99669089467782168</v>
      </c>
      <c r="V36" s="490">
        <v>0</v>
      </c>
      <c r="W36" s="490">
        <v>0</v>
      </c>
      <c r="X36" s="488">
        <v>1</v>
      </c>
      <c r="Y36" s="489">
        <v>4785304.3499999996</v>
      </c>
      <c r="Z36" s="489">
        <v>0</v>
      </c>
      <c r="AB36" s="490">
        <v>0.99669089467782168</v>
      </c>
      <c r="AC36" s="490">
        <v>0</v>
      </c>
      <c r="AD36" s="490">
        <v>0</v>
      </c>
      <c r="AE36" s="488">
        <v>1</v>
      </c>
      <c r="AF36" s="489">
        <v>4785304.3499999996</v>
      </c>
      <c r="AG36" s="489">
        <v>0</v>
      </c>
      <c r="AH36" s="490">
        <v>0.99669089467782168</v>
      </c>
      <c r="AI36" s="490">
        <v>0</v>
      </c>
      <c r="AJ36" s="490">
        <v>0</v>
      </c>
    </row>
    <row r="37" spans="2:36" ht="51" x14ac:dyDescent="0.25">
      <c r="B37" s="488" t="s">
        <v>395</v>
      </c>
      <c r="C37" s="488" t="s">
        <v>1550</v>
      </c>
      <c r="D37" s="488" t="s">
        <v>344</v>
      </c>
      <c r="E37" s="488" t="s">
        <v>487</v>
      </c>
      <c r="F37" s="489">
        <v>7606541</v>
      </c>
      <c r="G37" s="489">
        <v>2948299</v>
      </c>
      <c r="H37" s="553">
        <v>0</v>
      </c>
      <c r="I37" s="552"/>
      <c r="J37" s="489">
        <v>7606541</v>
      </c>
      <c r="K37" s="489">
        <v>4563329.24</v>
      </c>
      <c r="L37" s="489">
        <v>0</v>
      </c>
      <c r="M37" s="490">
        <v>0.59992173052113962</v>
      </c>
      <c r="N37" s="490">
        <v>0</v>
      </c>
      <c r="O37" s="554">
        <v>0</v>
      </c>
      <c r="P37" s="551"/>
      <c r="Q37" s="552"/>
      <c r="R37" s="488">
        <v>3</v>
      </c>
      <c r="S37" s="489">
        <v>4563329.24</v>
      </c>
      <c r="T37" s="489">
        <v>0</v>
      </c>
      <c r="U37" s="490">
        <v>0.59992173052113962</v>
      </c>
      <c r="V37" s="490">
        <v>0</v>
      </c>
      <c r="W37" s="490">
        <v>0</v>
      </c>
      <c r="X37" s="488">
        <v>3</v>
      </c>
      <c r="Y37" s="489">
        <v>4563329.24</v>
      </c>
      <c r="Z37" s="489">
        <v>0</v>
      </c>
      <c r="AB37" s="490">
        <v>0.59992173052113962</v>
      </c>
      <c r="AC37" s="490">
        <v>0</v>
      </c>
      <c r="AD37" s="490">
        <v>0</v>
      </c>
      <c r="AE37" s="488">
        <v>3</v>
      </c>
      <c r="AF37" s="489">
        <v>4639250.28</v>
      </c>
      <c r="AG37" s="489">
        <v>1620093.89</v>
      </c>
      <c r="AH37" s="490">
        <v>0.60990275080355183</v>
      </c>
      <c r="AI37" s="490">
        <v>-1.9719870043427099E-4</v>
      </c>
      <c r="AJ37" s="490">
        <v>-3.2322359737055274E-4</v>
      </c>
    </row>
    <row r="38" spans="2:36" x14ac:dyDescent="0.25">
      <c r="B38" s="485" t="s">
        <v>249</v>
      </c>
      <c r="C38" s="485" t="s">
        <v>13</v>
      </c>
      <c r="D38" s="485"/>
      <c r="E38" s="485"/>
      <c r="F38" s="486">
        <v>172783829</v>
      </c>
      <c r="G38" s="486">
        <v>0</v>
      </c>
      <c r="H38" s="555">
        <v>0</v>
      </c>
      <c r="I38" s="552"/>
      <c r="J38" s="486">
        <v>172783829</v>
      </c>
      <c r="K38" s="486">
        <v>165233954.75</v>
      </c>
      <c r="L38" s="486">
        <v>0</v>
      </c>
      <c r="M38" s="487">
        <v>0.95630450897114916</v>
      </c>
      <c r="N38" s="487">
        <v>0</v>
      </c>
      <c r="O38" s="550">
        <v>0</v>
      </c>
      <c r="P38" s="551"/>
      <c r="Q38" s="552"/>
      <c r="R38" s="485">
        <v>59</v>
      </c>
      <c r="S38" s="486">
        <v>165233954.75</v>
      </c>
      <c r="T38" s="486">
        <v>0</v>
      </c>
      <c r="U38" s="487">
        <v>0.95630450897114916</v>
      </c>
      <c r="V38" s="487">
        <v>0</v>
      </c>
      <c r="W38" s="487">
        <v>0</v>
      </c>
      <c r="X38" s="485">
        <v>59</v>
      </c>
      <c r="Y38" s="486">
        <v>165233954.75</v>
      </c>
      <c r="Z38" s="486">
        <v>0</v>
      </c>
      <c r="AB38" s="487">
        <v>0.95630450897114916</v>
      </c>
      <c r="AC38" s="487">
        <v>0</v>
      </c>
      <c r="AD38" s="487">
        <v>0</v>
      </c>
      <c r="AE38" s="485">
        <v>59</v>
      </c>
      <c r="AF38" s="486">
        <v>165233954.75</v>
      </c>
      <c r="AG38" s="486">
        <v>0</v>
      </c>
      <c r="AH38" s="487">
        <v>0.95630450897114916</v>
      </c>
      <c r="AI38" s="487">
        <v>0</v>
      </c>
      <c r="AJ38" s="487">
        <v>0</v>
      </c>
    </row>
    <row r="39" spans="2:36" ht="51" x14ac:dyDescent="0.25">
      <c r="B39" s="488" t="s">
        <v>489</v>
      </c>
      <c r="C39" s="488" t="s">
        <v>490</v>
      </c>
      <c r="D39" s="488"/>
      <c r="E39" s="488"/>
      <c r="F39" s="489">
        <v>42274115</v>
      </c>
      <c r="G39" s="489">
        <v>0</v>
      </c>
      <c r="H39" s="553">
        <v>0</v>
      </c>
      <c r="I39" s="552"/>
      <c r="J39" s="489">
        <v>42274115</v>
      </c>
      <c r="K39" s="489">
        <v>39542253.600000001</v>
      </c>
      <c r="L39" s="489">
        <v>0</v>
      </c>
      <c r="M39" s="490">
        <v>0.93537744314694704</v>
      </c>
      <c r="N39" s="490">
        <v>0</v>
      </c>
      <c r="O39" s="554">
        <v>0</v>
      </c>
      <c r="P39" s="551"/>
      <c r="Q39" s="552"/>
      <c r="R39" s="488">
        <v>1</v>
      </c>
      <c r="S39" s="489">
        <v>39542253.600000001</v>
      </c>
      <c r="T39" s="489">
        <v>0</v>
      </c>
      <c r="U39" s="490">
        <v>0.93537744314694704</v>
      </c>
      <c r="V39" s="490">
        <v>0</v>
      </c>
      <c r="W39" s="490">
        <v>0</v>
      </c>
      <c r="X39" s="488">
        <v>1</v>
      </c>
      <c r="Y39" s="489">
        <v>39542253.600000001</v>
      </c>
      <c r="Z39" s="489">
        <v>0</v>
      </c>
      <c r="AB39" s="490">
        <v>0.93537744314694704</v>
      </c>
      <c r="AC39" s="490">
        <v>0</v>
      </c>
      <c r="AD39" s="490">
        <v>0</v>
      </c>
      <c r="AE39" s="488">
        <v>1</v>
      </c>
      <c r="AF39" s="489">
        <v>39542253.600000001</v>
      </c>
      <c r="AG39" s="489">
        <v>0</v>
      </c>
      <c r="AH39" s="490">
        <v>0.93537744314694704</v>
      </c>
      <c r="AI39" s="490">
        <v>0</v>
      </c>
      <c r="AJ39" s="490">
        <v>0</v>
      </c>
    </row>
    <row r="40" spans="2:36" ht="25.5" x14ac:dyDescent="0.25">
      <c r="B40" s="488" t="s">
        <v>250</v>
      </c>
      <c r="C40" s="488" t="s">
        <v>357</v>
      </c>
      <c r="D40" s="488" t="s">
        <v>344</v>
      </c>
      <c r="E40" s="488" t="s">
        <v>491</v>
      </c>
      <c r="F40" s="489">
        <v>42274115</v>
      </c>
      <c r="G40" s="489">
        <v>0</v>
      </c>
      <c r="H40" s="553">
        <v>0</v>
      </c>
      <c r="I40" s="552"/>
      <c r="J40" s="489">
        <v>42274115</v>
      </c>
      <c r="K40" s="489">
        <v>39542253.600000001</v>
      </c>
      <c r="L40" s="489">
        <v>0</v>
      </c>
      <c r="M40" s="490">
        <v>0.93537744314694704</v>
      </c>
      <c r="N40" s="490">
        <v>0</v>
      </c>
      <c r="O40" s="554">
        <v>0</v>
      </c>
      <c r="P40" s="551"/>
      <c r="Q40" s="552"/>
      <c r="R40" s="488">
        <v>1</v>
      </c>
      <c r="S40" s="489">
        <v>39542253.600000001</v>
      </c>
      <c r="T40" s="489">
        <v>0</v>
      </c>
      <c r="U40" s="490">
        <v>0.93537744314694704</v>
      </c>
      <c r="V40" s="490">
        <v>0</v>
      </c>
      <c r="W40" s="490">
        <v>0</v>
      </c>
      <c r="X40" s="488">
        <v>1</v>
      </c>
      <c r="Y40" s="489">
        <v>39542253.600000001</v>
      </c>
      <c r="Z40" s="489">
        <v>0</v>
      </c>
      <c r="AB40" s="490">
        <v>0.93537744314694704</v>
      </c>
      <c r="AC40" s="490">
        <v>0</v>
      </c>
      <c r="AD40" s="490">
        <v>0</v>
      </c>
      <c r="AE40" s="488">
        <v>1</v>
      </c>
      <c r="AF40" s="489">
        <v>39542253.600000001</v>
      </c>
      <c r="AG40" s="489">
        <v>0</v>
      </c>
      <c r="AH40" s="490">
        <v>0.93537744314694704</v>
      </c>
      <c r="AI40" s="490">
        <v>0</v>
      </c>
      <c r="AJ40" s="490">
        <v>0</v>
      </c>
    </row>
    <row r="41" spans="2:36" ht="25.5" x14ac:dyDescent="0.25">
      <c r="B41" s="488" t="s">
        <v>1342</v>
      </c>
      <c r="C41" s="488" t="s">
        <v>1340</v>
      </c>
      <c r="D41" s="488"/>
      <c r="E41" s="488" t="s">
        <v>491</v>
      </c>
      <c r="F41" s="489">
        <v>0</v>
      </c>
      <c r="G41" s="489">
        <v>0</v>
      </c>
      <c r="H41" s="553">
        <v>0</v>
      </c>
      <c r="I41" s="552"/>
      <c r="J41" s="489">
        <v>0</v>
      </c>
      <c r="K41" s="489">
        <v>0</v>
      </c>
      <c r="L41" s="489">
        <v>0</v>
      </c>
      <c r="M41" s="490">
        <v>0</v>
      </c>
      <c r="N41" s="490">
        <v>0</v>
      </c>
      <c r="O41" s="554">
        <v>0</v>
      </c>
      <c r="P41" s="551"/>
      <c r="Q41" s="552"/>
      <c r="R41" s="488">
        <v>0</v>
      </c>
      <c r="S41" s="489">
        <v>0</v>
      </c>
      <c r="T41" s="489">
        <v>0</v>
      </c>
      <c r="U41" s="490">
        <v>0</v>
      </c>
      <c r="V41" s="490">
        <v>0</v>
      </c>
      <c r="W41" s="490">
        <v>0</v>
      </c>
      <c r="X41" s="488">
        <v>0</v>
      </c>
      <c r="Y41" s="489">
        <v>0</v>
      </c>
      <c r="Z41" s="489">
        <v>0</v>
      </c>
      <c r="AB41" s="490">
        <v>0</v>
      </c>
      <c r="AC41" s="490">
        <v>0</v>
      </c>
      <c r="AD41" s="490">
        <v>0</v>
      </c>
      <c r="AE41" s="488">
        <v>0</v>
      </c>
      <c r="AF41" s="489">
        <v>0</v>
      </c>
      <c r="AG41" s="489">
        <v>0</v>
      </c>
      <c r="AH41" s="490">
        <v>0</v>
      </c>
      <c r="AI41" s="490">
        <v>0</v>
      </c>
      <c r="AJ41" s="490">
        <v>0</v>
      </c>
    </row>
    <row r="42" spans="2:36" ht="38.25" x14ac:dyDescent="0.25">
      <c r="B42" s="488" t="s">
        <v>492</v>
      </c>
      <c r="C42" s="488" t="s">
        <v>493</v>
      </c>
      <c r="D42" s="488"/>
      <c r="E42" s="488"/>
      <c r="F42" s="489">
        <v>128809714</v>
      </c>
      <c r="G42" s="489">
        <v>0</v>
      </c>
      <c r="H42" s="553">
        <v>0</v>
      </c>
      <c r="I42" s="552"/>
      <c r="J42" s="489">
        <v>128809714</v>
      </c>
      <c r="K42" s="489">
        <v>125691701.15000001</v>
      </c>
      <c r="L42" s="489">
        <v>0</v>
      </c>
      <c r="M42" s="490">
        <v>0.97579365132353291</v>
      </c>
      <c r="N42" s="490">
        <v>0</v>
      </c>
      <c r="O42" s="554">
        <v>0</v>
      </c>
      <c r="P42" s="551"/>
      <c r="Q42" s="552"/>
      <c r="R42" s="488">
        <v>58</v>
      </c>
      <c r="S42" s="489">
        <v>125691701.15000001</v>
      </c>
      <c r="T42" s="489">
        <v>0</v>
      </c>
      <c r="U42" s="490">
        <v>0.97579365132353291</v>
      </c>
      <c r="V42" s="490">
        <v>0</v>
      </c>
      <c r="W42" s="490">
        <v>0</v>
      </c>
      <c r="X42" s="488">
        <v>58</v>
      </c>
      <c r="Y42" s="489">
        <v>125691701.15000001</v>
      </c>
      <c r="Z42" s="489">
        <v>0</v>
      </c>
      <c r="AB42" s="490">
        <v>0.97579365132353291</v>
      </c>
      <c r="AC42" s="490">
        <v>0</v>
      </c>
      <c r="AD42" s="490">
        <v>0</v>
      </c>
      <c r="AE42" s="488">
        <v>58</v>
      </c>
      <c r="AF42" s="489">
        <v>125691701.15000001</v>
      </c>
      <c r="AG42" s="489">
        <v>0</v>
      </c>
      <c r="AH42" s="490">
        <v>0.97579365132353291</v>
      </c>
      <c r="AI42" s="490">
        <v>0</v>
      </c>
      <c r="AJ42" s="490">
        <v>0</v>
      </c>
    </row>
    <row r="43" spans="2:36" ht="63.75" x14ac:dyDescent="0.25">
      <c r="B43" s="488" t="s">
        <v>431</v>
      </c>
      <c r="C43" s="488" t="s">
        <v>36</v>
      </c>
      <c r="D43" s="488" t="s">
        <v>344</v>
      </c>
      <c r="E43" s="488" t="s">
        <v>1607</v>
      </c>
      <c r="F43" s="489">
        <v>128809714</v>
      </c>
      <c r="G43" s="489">
        <v>0</v>
      </c>
      <c r="H43" s="553">
        <v>0</v>
      </c>
      <c r="I43" s="552"/>
      <c r="J43" s="489">
        <v>128809714</v>
      </c>
      <c r="K43" s="489">
        <v>125691701.15000001</v>
      </c>
      <c r="L43" s="489">
        <v>0</v>
      </c>
      <c r="M43" s="490">
        <v>0.97579365132353291</v>
      </c>
      <c r="N43" s="490">
        <v>0</v>
      </c>
      <c r="O43" s="554">
        <v>0</v>
      </c>
      <c r="P43" s="551"/>
      <c r="Q43" s="552"/>
      <c r="R43" s="488">
        <v>58</v>
      </c>
      <c r="S43" s="489">
        <v>125691701.15000001</v>
      </c>
      <c r="T43" s="489">
        <v>0</v>
      </c>
      <c r="U43" s="490">
        <v>0.97579365132353291</v>
      </c>
      <c r="V43" s="490">
        <v>0</v>
      </c>
      <c r="W43" s="490">
        <v>0</v>
      </c>
      <c r="X43" s="488">
        <v>58</v>
      </c>
      <c r="Y43" s="489">
        <v>125691701.15000001</v>
      </c>
      <c r="Z43" s="489">
        <v>0</v>
      </c>
      <c r="AB43" s="490">
        <v>0.97579365132353291</v>
      </c>
      <c r="AC43" s="490">
        <v>0</v>
      </c>
      <c r="AD43" s="490">
        <v>0</v>
      </c>
      <c r="AE43" s="488">
        <v>58</v>
      </c>
      <c r="AF43" s="489">
        <v>125691701.15000001</v>
      </c>
      <c r="AG43" s="489">
        <v>0</v>
      </c>
      <c r="AH43" s="490">
        <v>0.97579365132353291</v>
      </c>
      <c r="AI43" s="490">
        <v>0</v>
      </c>
      <c r="AJ43" s="490">
        <v>0</v>
      </c>
    </row>
    <row r="44" spans="2:36" ht="63.75" x14ac:dyDescent="0.25">
      <c r="B44" s="488" t="s">
        <v>251</v>
      </c>
      <c r="C44" s="488" t="s">
        <v>171</v>
      </c>
      <c r="D44" s="488" t="s">
        <v>344</v>
      </c>
      <c r="E44" s="488" t="s">
        <v>1607</v>
      </c>
      <c r="F44" s="489">
        <v>118694714</v>
      </c>
      <c r="G44" s="489">
        <v>0</v>
      </c>
      <c r="H44" s="553">
        <v>0</v>
      </c>
      <c r="I44" s="552"/>
      <c r="J44" s="489">
        <v>118694714</v>
      </c>
      <c r="K44" s="489">
        <v>115807330.93000001</v>
      </c>
      <c r="L44" s="489">
        <v>0</v>
      </c>
      <c r="M44" s="490">
        <v>0.97567386977317283</v>
      </c>
      <c r="N44" s="490">
        <v>0</v>
      </c>
      <c r="O44" s="554">
        <v>0</v>
      </c>
      <c r="P44" s="551"/>
      <c r="Q44" s="552"/>
      <c r="R44" s="488">
        <v>56</v>
      </c>
      <c r="S44" s="489">
        <v>115807330.93000001</v>
      </c>
      <c r="T44" s="489">
        <v>0</v>
      </c>
      <c r="U44" s="490">
        <v>0.97567386977317283</v>
      </c>
      <c r="V44" s="490">
        <v>0</v>
      </c>
      <c r="W44" s="490">
        <v>0</v>
      </c>
      <c r="X44" s="488">
        <v>56</v>
      </c>
      <c r="Y44" s="489">
        <v>115807330.93000001</v>
      </c>
      <c r="Z44" s="489">
        <v>0</v>
      </c>
      <c r="AB44" s="490">
        <v>0.97567386977317283</v>
      </c>
      <c r="AC44" s="490">
        <v>0</v>
      </c>
      <c r="AD44" s="490">
        <v>0</v>
      </c>
      <c r="AE44" s="488">
        <v>56</v>
      </c>
      <c r="AF44" s="489">
        <v>115807330.93000001</v>
      </c>
      <c r="AG44" s="489">
        <v>0</v>
      </c>
      <c r="AH44" s="490">
        <v>0.97567386977317283</v>
      </c>
      <c r="AI44" s="490">
        <v>0</v>
      </c>
      <c r="AJ44" s="490">
        <v>0</v>
      </c>
    </row>
    <row r="45" spans="2:36" ht="63.75" x14ac:dyDescent="0.25">
      <c r="B45" s="488" t="s">
        <v>252</v>
      </c>
      <c r="C45" s="488" t="s">
        <v>494</v>
      </c>
      <c r="D45" s="488" t="s">
        <v>344</v>
      </c>
      <c r="E45" s="488" t="s">
        <v>1607</v>
      </c>
      <c r="F45" s="489">
        <v>10115000</v>
      </c>
      <c r="G45" s="489">
        <v>0</v>
      </c>
      <c r="H45" s="553">
        <v>0</v>
      </c>
      <c r="I45" s="552"/>
      <c r="J45" s="489">
        <v>10115000</v>
      </c>
      <c r="K45" s="489">
        <v>9884370.2200000007</v>
      </c>
      <c r="L45" s="489">
        <v>0</v>
      </c>
      <c r="M45" s="490">
        <v>0.97719923084527927</v>
      </c>
      <c r="N45" s="490">
        <v>0</v>
      </c>
      <c r="O45" s="554">
        <v>0</v>
      </c>
      <c r="P45" s="551"/>
      <c r="Q45" s="552"/>
      <c r="R45" s="488">
        <v>2</v>
      </c>
      <c r="S45" s="489">
        <v>9884370.2200000007</v>
      </c>
      <c r="T45" s="489">
        <v>0</v>
      </c>
      <c r="U45" s="490">
        <v>0.97719923084527927</v>
      </c>
      <c r="V45" s="490">
        <v>0</v>
      </c>
      <c r="W45" s="490">
        <v>0</v>
      </c>
      <c r="X45" s="488">
        <v>2</v>
      </c>
      <c r="Y45" s="489">
        <v>9884370.2200000007</v>
      </c>
      <c r="Z45" s="489">
        <v>0</v>
      </c>
      <c r="AB45" s="490">
        <v>0.97719923084527927</v>
      </c>
      <c r="AC45" s="490">
        <v>0</v>
      </c>
      <c r="AD45" s="490">
        <v>0</v>
      </c>
      <c r="AE45" s="488">
        <v>2</v>
      </c>
      <c r="AF45" s="489">
        <v>9884370.2200000007</v>
      </c>
      <c r="AG45" s="489">
        <v>0</v>
      </c>
      <c r="AH45" s="490">
        <v>0.97719923084527927</v>
      </c>
      <c r="AI45" s="490">
        <v>0</v>
      </c>
      <c r="AJ45" s="490">
        <v>0</v>
      </c>
    </row>
    <row r="46" spans="2:36" x14ac:dyDescent="0.25">
      <c r="B46" s="485" t="s">
        <v>253</v>
      </c>
      <c r="C46" s="485" t="s">
        <v>19</v>
      </c>
      <c r="D46" s="485"/>
      <c r="E46" s="485"/>
      <c r="F46" s="486">
        <v>450217124.87</v>
      </c>
      <c r="G46" s="486">
        <v>51939286.159999996</v>
      </c>
      <c r="H46" s="555">
        <v>290005</v>
      </c>
      <c r="I46" s="552"/>
      <c r="J46" s="486">
        <v>450507129.87</v>
      </c>
      <c r="K46" s="486">
        <v>224586179.81999999</v>
      </c>
      <c r="L46" s="486">
        <v>5880005</v>
      </c>
      <c r="M46" s="487">
        <v>0.49883970958423485</v>
      </c>
      <c r="N46" s="487">
        <v>0</v>
      </c>
      <c r="O46" s="550">
        <v>0</v>
      </c>
      <c r="P46" s="551"/>
      <c r="Q46" s="552"/>
      <c r="R46" s="485">
        <v>177</v>
      </c>
      <c r="S46" s="486">
        <v>224586179.81999999</v>
      </c>
      <c r="T46" s="486">
        <v>5880005</v>
      </c>
      <c r="U46" s="487">
        <v>0.49883970958423485</v>
      </c>
      <c r="V46" s="487">
        <v>0</v>
      </c>
      <c r="W46" s="487">
        <v>0</v>
      </c>
      <c r="X46" s="485">
        <v>177</v>
      </c>
      <c r="Y46" s="486">
        <v>224586179.81999999</v>
      </c>
      <c r="Z46" s="486">
        <v>5880005</v>
      </c>
      <c r="AB46" s="487">
        <v>0.49883970958423485</v>
      </c>
      <c r="AC46" s="487">
        <v>0</v>
      </c>
      <c r="AD46" s="487">
        <v>0</v>
      </c>
      <c r="AE46" s="485">
        <v>177</v>
      </c>
      <c r="AF46" s="486">
        <v>374035715.72000003</v>
      </c>
      <c r="AG46" s="486">
        <v>26579073.77</v>
      </c>
      <c r="AH46" s="487">
        <v>0.83078962362438491</v>
      </c>
      <c r="AI46" s="487">
        <v>0</v>
      </c>
      <c r="AJ46" s="487">
        <v>0</v>
      </c>
    </row>
    <row r="47" spans="2:36" ht="51" x14ac:dyDescent="0.25">
      <c r="B47" s="488" t="s">
        <v>495</v>
      </c>
      <c r="C47" s="488" t="s">
        <v>496</v>
      </c>
      <c r="D47" s="488"/>
      <c r="E47" s="488"/>
      <c r="F47" s="489">
        <v>366140938.88999999</v>
      </c>
      <c r="G47" s="489">
        <v>46901653.159999996</v>
      </c>
      <c r="H47" s="553">
        <v>0</v>
      </c>
      <c r="I47" s="552"/>
      <c r="J47" s="489">
        <v>366140938.88999999</v>
      </c>
      <c r="K47" s="489">
        <v>61253281.829999998</v>
      </c>
      <c r="L47" s="489">
        <v>842372</v>
      </c>
      <c r="M47" s="490">
        <v>0.16729427202458333</v>
      </c>
      <c r="N47" s="490">
        <v>0</v>
      </c>
      <c r="O47" s="554">
        <v>0</v>
      </c>
      <c r="P47" s="551"/>
      <c r="Q47" s="552"/>
      <c r="R47" s="488">
        <v>53</v>
      </c>
      <c r="S47" s="489">
        <v>61253281.829999998</v>
      </c>
      <c r="T47" s="489">
        <v>842372</v>
      </c>
      <c r="U47" s="490">
        <v>0.16729427202458333</v>
      </c>
      <c r="V47" s="490">
        <v>0</v>
      </c>
      <c r="W47" s="490">
        <v>0</v>
      </c>
      <c r="X47" s="488">
        <v>53</v>
      </c>
      <c r="Y47" s="489">
        <v>61253281.829999998</v>
      </c>
      <c r="Z47" s="489">
        <v>842372</v>
      </c>
      <c r="AB47" s="490">
        <v>0.16729427202458333</v>
      </c>
      <c r="AC47" s="490">
        <v>0</v>
      </c>
      <c r="AD47" s="490">
        <v>0</v>
      </c>
      <c r="AE47" s="488">
        <v>53</v>
      </c>
      <c r="AF47" s="489">
        <v>214732895.88</v>
      </c>
      <c r="AG47" s="489">
        <v>21559723.960000001</v>
      </c>
      <c r="AH47" s="490">
        <v>0.58647606173455613</v>
      </c>
      <c r="AI47" s="490">
        <v>0</v>
      </c>
      <c r="AJ47" s="490">
        <v>0</v>
      </c>
    </row>
    <row r="48" spans="2:36" ht="25.5" x14ac:dyDescent="0.25">
      <c r="B48" s="488" t="s">
        <v>432</v>
      </c>
      <c r="C48" s="488" t="s">
        <v>497</v>
      </c>
      <c r="D48" s="488" t="s">
        <v>344</v>
      </c>
      <c r="E48" s="488" t="s">
        <v>487</v>
      </c>
      <c r="F48" s="489">
        <v>186403425.53999999</v>
      </c>
      <c r="G48" s="489">
        <v>21901653.16</v>
      </c>
      <c r="H48" s="553">
        <v>0</v>
      </c>
      <c r="I48" s="552"/>
      <c r="J48" s="489">
        <v>186403425.53999999</v>
      </c>
      <c r="K48" s="489">
        <v>61253281.829999998</v>
      </c>
      <c r="L48" s="489">
        <v>842372</v>
      </c>
      <c r="M48" s="490">
        <v>0.32860598807426833</v>
      </c>
      <c r="N48" s="490">
        <v>0</v>
      </c>
      <c r="O48" s="554">
        <v>0</v>
      </c>
      <c r="P48" s="551"/>
      <c r="Q48" s="552"/>
      <c r="R48" s="488">
        <v>53</v>
      </c>
      <c r="S48" s="489">
        <v>61253281.829999998</v>
      </c>
      <c r="T48" s="489">
        <v>842372</v>
      </c>
      <c r="U48" s="490">
        <v>0.32860598807426833</v>
      </c>
      <c r="V48" s="490">
        <v>0</v>
      </c>
      <c r="W48" s="490">
        <v>0</v>
      </c>
      <c r="X48" s="488">
        <v>53</v>
      </c>
      <c r="Y48" s="489">
        <v>61253281.829999998</v>
      </c>
      <c r="Z48" s="489">
        <v>842372</v>
      </c>
      <c r="AB48" s="490">
        <v>0.32860598807426833</v>
      </c>
      <c r="AC48" s="490">
        <v>0</v>
      </c>
      <c r="AD48" s="490">
        <v>0</v>
      </c>
      <c r="AE48" s="488">
        <v>53</v>
      </c>
      <c r="AF48" s="489">
        <v>59444373.520000003</v>
      </c>
      <c r="AG48" s="489">
        <v>500442.8</v>
      </c>
      <c r="AH48" s="490">
        <v>0.31890172268987582</v>
      </c>
      <c r="AI48" s="490">
        <v>0</v>
      </c>
      <c r="AJ48" s="490">
        <v>0</v>
      </c>
    </row>
    <row r="49" spans="2:36" ht="25.5" x14ac:dyDescent="0.25">
      <c r="B49" s="488" t="s">
        <v>256</v>
      </c>
      <c r="C49" s="488" t="s">
        <v>1284</v>
      </c>
      <c r="D49" s="488" t="s">
        <v>344</v>
      </c>
      <c r="E49" s="488" t="s">
        <v>487</v>
      </c>
      <c r="F49" s="489">
        <v>1000000</v>
      </c>
      <c r="G49" s="489">
        <v>0</v>
      </c>
      <c r="H49" s="553">
        <v>0</v>
      </c>
      <c r="I49" s="552"/>
      <c r="J49" s="489">
        <v>1000000</v>
      </c>
      <c r="K49" s="489">
        <v>76800</v>
      </c>
      <c r="L49" s="489">
        <v>0</v>
      </c>
      <c r="M49" s="490">
        <v>7.6799999999999993E-2</v>
      </c>
      <c r="N49" s="490">
        <v>0</v>
      </c>
      <c r="O49" s="554">
        <v>0</v>
      </c>
      <c r="P49" s="551"/>
      <c r="Q49" s="552"/>
      <c r="R49" s="488">
        <v>1</v>
      </c>
      <c r="S49" s="489">
        <v>76800</v>
      </c>
      <c r="T49" s="489">
        <v>0</v>
      </c>
      <c r="U49" s="490">
        <v>7.6799999999999993E-2</v>
      </c>
      <c r="V49" s="490">
        <v>0</v>
      </c>
      <c r="W49" s="490">
        <v>0</v>
      </c>
      <c r="X49" s="488">
        <v>1</v>
      </c>
      <c r="Y49" s="489">
        <v>76800</v>
      </c>
      <c r="Z49" s="489">
        <v>0</v>
      </c>
      <c r="AB49" s="490">
        <v>7.6799999999999993E-2</v>
      </c>
      <c r="AC49" s="490">
        <v>0</v>
      </c>
      <c r="AD49" s="490">
        <v>0</v>
      </c>
      <c r="AE49" s="488">
        <v>1</v>
      </c>
      <c r="AF49" s="489">
        <v>56200</v>
      </c>
      <c r="AG49" s="489">
        <v>0</v>
      </c>
      <c r="AH49" s="490">
        <v>5.62E-2</v>
      </c>
      <c r="AI49" s="490">
        <v>0</v>
      </c>
      <c r="AJ49" s="490">
        <v>0</v>
      </c>
    </row>
    <row r="50" spans="2:36" ht="25.5" x14ac:dyDescent="0.25">
      <c r="B50" s="488" t="s">
        <v>258</v>
      </c>
      <c r="C50" s="488" t="s">
        <v>177</v>
      </c>
      <c r="D50" s="488" t="s">
        <v>344</v>
      </c>
      <c r="E50" s="488" t="s">
        <v>487</v>
      </c>
      <c r="F50" s="489">
        <v>39549612</v>
      </c>
      <c r="G50" s="489">
        <v>0</v>
      </c>
      <c r="H50" s="553">
        <v>0</v>
      </c>
      <c r="I50" s="552"/>
      <c r="J50" s="489">
        <v>39549612</v>
      </c>
      <c r="K50" s="489">
        <v>31580340.609999999</v>
      </c>
      <c r="L50" s="489">
        <v>0</v>
      </c>
      <c r="M50" s="490">
        <v>0.79849937870439791</v>
      </c>
      <c r="N50" s="490">
        <v>0</v>
      </c>
      <c r="O50" s="554">
        <v>0</v>
      </c>
      <c r="P50" s="551"/>
      <c r="Q50" s="552"/>
      <c r="R50" s="488">
        <v>51</v>
      </c>
      <c r="S50" s="489">
        <v>31580340.609999999</v>
      </c>
      <c r="T50" s="489">
        <v>0</v>
      </c>
      <c r="U50" s="490">
        <v>0.79849937870439791</v>
      </c>
      <c r="V50" s="490">
        <v>0</v>
      </c>
      <c r="W50" s="490">
        <v>0</v>
      </c>
      <c r="X50" s="488">
        <v>51</v>
      </c>
      <c r="Y50" s="489">
        <v>31580340.609999999</v>
      </c>
      <c r="Z50" s="489">
        <v>0</v>
      </c>
      <c r="AB50" s="490">
        <v>0.79849937870439791</v>
      </c>
      <c r="AC50" s="490">
        <v>0</v>
      </c>
      <c r="AD50" s="490">
        <v>0</v>
      </c>
      <c r="AE50" s="488">
        <v>51</v>
      </c>
      <c r="AF50" s="489">
        <v>29792032.300000001</v>
      </c>
      <c r="AG50" s="489">
        <v>0</v>
      </c>
      <c r="AH50" s="490">
        <v>0.75328254294884112</v>
      </c>
      <c r="AI50" s="490">
        <v>0</v>
      </c>
      <c r="AJ50" s="490">
        <v>0</v>
      </c>
    </row>
    <row r="51" spans="2:36" ht="51" x14ac:dyDescent="0.25">
      <c r="B51" s="488" t="s">
        <v>259</v>
      </c>
      <c r="C51" s="488" t="s">
        <v>1565</v>
      </c>
      <c r="D51" s="488" t="s">
        <v>344</v>
      </c>
      <c r="E51" s="488" t="s">
        <v>487</v>
      </c>
      <c r="F51" s="489">
        <v>32607110</v>
      </c>
      <c r="G51" s="489">
        <v>842372</v>
      </c>
      <c r="H51" s="553">
        <v>0</v>
      </c>
      <c r="I51" s="552"/>
      <c r="J51" s="489">
        <v>32607110</v>
      </c>
      <c r="K51" s="489">
        <v>29596141.219999999</v>
      </c>
      <c r="L51" s="489">
        <v>842372</v>
      </c>
      <c r="M51" s="490">
        <v>0.90765913385148211</v>
      </c>
      <c r="N51" s="490">
        <v>0</v>
      </c>
      <c r="O51" s="554">
        <v>0</v>
      </c>
      <c r="P51" s="551"/>
      <c r="Q51" s="552"/>
      <c r="R51" s="488">
        <v>1</v>
      </c>
      <c r="S51" s="489">
        <v>29596141.219999999</v>
      </c>
      <c r="T51" s="489">
        <v>842372</v>
      </c>
      <c r="U51" s="490">
        <v>0.90765913385148211</v>
      </c>
      <c r="V51" s="490">
        <v>0</v>
      </c>
      <c r="W51" s="490">
        <v>0</v>
      </c>
      <c r="X51" s="488">
        <v>1</v>
      </c>
      <c r="Y51" s="489">
        <v>29596141.219999999</v>
      </c>
      <c r="Z51" s="489">
        <v>842372</v>
      </c>
      <c r="AB51" s="490">
        <v>0.90765913385148211</v>
      </c>
      <c r="AC51" s="490">
        <v>0</v>
      </c>
      <c r="AD51" s="490">
        <v>0</v>
      </c>
      <c r="AE51" s="488">
        <v>1</v>
      </c>
      <c r="AF51" s="489">
        <v>29596141.219999999</v>
      </c>
      <c r="AG51" s="489">
        <v>500442.8</v>
      </c>
      <c r="AH51" s="490">
        <v>0.90765913385148211</v>
      </c>
      <c r="AI51" s="490">
        <v>0</v>
      </c>
      <c r="AJ51" s="490">
        <v>0</v>
      </c>
    </row>
    <row r="52" spans="2:36" ht="51" x14ac:dyDescent="0.25">
      <c r="B52" s="488" t="s">
        <v>1361</v>
      </c>
      <c r="C52" s="488" t="s">
        <v>1532</v>
      </c>
      <c r="D52" s="488" t="s">
        <v>344</v>
      </c>
      <c r="E52" s="488" t="s">
        <v>487</v>
      </c>
      <c r="F52" s="489">
        <v>44395099.899999999</v>
      </c>
      <c r="G52" s="489">
        <v>16702630.33</v>
      </c>
      <c r="H52" s="553">
        <v>0</v>
      </c>
      <c r="I52" s="552"/>
      <c r="J52" s="489">
        <v>44395099.899999999</v>
      </c>
      <c r="K52" s="489">
        <v>0</v>
      </c>
      <c r="L52" s="489">
        <v>0</v>
      </c>
      <c r="M52" s="490">
        <v>0</v>
      </c>
      <c r="N52" s="490">
        <v>0</v>
      </c>
      <c r="O52" s="554">
        <v>0</v>
      </c>
      <c r="P52" s="551"/>
      <c r="Q52" s="552"/>
      <c r="R52" s="488">
        <v>0</v>
      </c>
      <c r="S52" s="489">
        <v>0</v>
      </c>
      <c r="T52" s="489">
        <v>0</v>
      </c>
      <c r="U52" s="490">
        <v>0</v>
      </c>
      <c r="V52" s="490">
        <v>0</v>
      </c>
      <c r="W52" s="490">
        <v>0</v>
      </c>
      <c r="X52" s="488">
        <v>0</v>
      </c>
      <c r="Y52" s="489">
        <v>0</v>
      </c>
      <c r="Z52" s="489">
        <v>0</v>
      </c>
      <c r="AB52" s="490">
        <v>0</v>
      </c>
      <c r="AC52" s="490">
        <v>0</v>
      </c>
      <c r="AD52" s="490">
        <v>0</v>
      </c>
      <c r="AE52" s="488">
        <v>0</v>
      </c>
      <c r="AF52" s="489">
        <v>0</v>
      </c>
      <c r="AG52" s="489">
        <v>0</v>
      </c>
      <c r="AH52" s="490">
        <v>0</v>
      </c>
      <c r="AI52" s="490">
        <v>0</v>
      </c>
      <c r="AJ52" s="490">
        <v>0</v>
      </c>
    </row>
    <row r="53" spans="2:36" ht="25.5" x14ac:dyDescent="0.25">
      <c r="B53" s="488" t="s">
        <v>433</v>
      </c>
      <c r="C53" s="488" t="s">
        <v>38</v>
      </c>
      <c r="D53" s="488" t="s">
        <v>344</v>
      </c>
      <c r="E53" s="488" t="s">
        <v>487</v>
      </c>
      <c r="F53" s="489">
        <v>43775045.479999997</v>
      </c>
      <c r="G53" s="489">
        <v>0</v>
      </c>
      <c r="H53" s="553">
        <v>0</v>
      </c>
      <c r="I53" s="552"/>
      <c r="J53" s="489">
        <v>43775045.479999997</v>
      </c>
      <c r="K53" s="489">
        <v>0</v>
      </c>
      <c r="L53" s="489">
        <v>0</v>
      </c>
      <c r="M53" s="490">
        <v>0</v>
      </c>
      <c r="N53" s="490">
        <v>0</v>
      </c>
      <c r="O53" s="554">
        <v>0</v>
      </c>
      <c r="P53" s="551"/>
      <c r="Q53" s="552"/>
      <c r="R53" s="488">
        <v>0</v>
      </c>
      <c r="S53" s="489">
        <v>0</v>
      </c>
      <c r="T53" s="489">
        <v>0</v>
      </c>
      <c r="U53" s="490">
        <v>0</v>
      </c>
      <c r="V53" s="490">
        <v>0</v>
      </c>
      <c r="W53" s="490">
        <v>0</v>
      </c>
      <c r="X53" s="488">
        <v>0</v>
      </c>
      <c r="Y53" s="489">
        <v>0</v>
      </c>
      <c r="Z53" s="489">
        <v>0</v>
      </c>
      <c r="AB53" s="490">
        <v>0</v>
      </c>
      <c r="AC53" s="490">
        <v>0</v>
      </c>
      <c r="AD53" s="490">
        <v>0</v>
      </c>
      <c r="AE53" s="488">
        <v>0</v>
      </c>
      <c r="AF53" s="489">
        <v>0</v>
      </c>
      <c r="AG53" s="489">
        <v>0</v>
      </c>
      <c r="AH53" s="490">
        <v>0</v>
      </c>
      <c r="AI53" s="490">
        <v>0</v>
      </c>
      <c r="AJ53" s="490">
        <v>0</v>
      </c>
    </row>
    <row r="54" spans="2:36" ht="89.25" x14ac:dyDescent="0.25">
      <c r="B54" s="488" t="s">
        <v>1539</v>
      </c>
      <c r="C54" s="488" t="s">
        <v>1249</v>
      </c>
      <c r="D54" s="488" t="s">
        <v>344</v>
      </c>
      <c r="E54" s="488" t="s">
        <v>487</v>
      </c>
      <c r="F54" s="489">
        <v>135962467.87</v>
      </c>
      <c r="G54" s="489">
        <v>25000000</v>
      </c>
      <c r="H54" s="553">
        <v>0</v>
      </c>
      <c r="I54" s="552"/>
      <c r="J54" s="489">
        <v>135962467.87</v>
      </c>
      <c r="K54" s="2">
        <v>135962467.87</v>
      </c>
      <c r="L54" s="2">
        <v>25000000</v>
      </c>
      <c r="M54" s="490">
        <v>0</v>
      </c>
      <c r="N54" s="490">
        <v>0</v>
      </c>
      <c r="O54" s="554">
        <v>0</v>
      </c>
      <c r="P54" s="551"/>
      <c r="Q54" s="552"/>
      <c r="R54" s="1">
        <v>1</v>
      </c>
      <c r="S54" s="2">
        <v>135962467.87</v>
      </c>
      <c r="T54" s="2">
        <v>25000000</v>
      </c>
      <c r="U54" s="490">
        <v>0</v>
      </c>
      <c r="V54" s="490">
        <v>0</v>
      </c>
      <c r="W54" s="490">
        <v>0</v>
      </c>
      <c r="X54" s="1">
        <v>1</v>
      </c>
      <c r="Y54" s="2">
        <v>135962467.87</v>
      </c>
      <c r="Z54" s="2">
        <v>25000000</v>
      </c>
      <c r="AB54" s="490">
        <v>0</v>
      </c>
      <c r="AC54" s="490">
        <v>0</v>
      </c>
      <c r="AD54" s="490">
        <v>0</v>
      </c>
      <c r="AE54" s="1">
        <v>1</v>
      </c>
      <c r="AF54" s="489">
        <v>155288522.36000001</v>
      </c>
      <c r="AG54" s="489">
        <v>21059281.16</v>
      </c>
      <c r="AH54" s="490">
        <v>1.1421425691425264</v>
      </c>
      <c r="AI54" s="490">
        <v>0</v>
      </c>
      <c r="AJ54" s="490">
        <v>0</v>
      </c>
    </row>
    <row r="55" spans="2:36" ht="38.25" x14ac:dyDescent="0.25">
      <c r="B55" s="488" t="s">
        <v>498</v>
      </c>
      <c r="C55" s="488" t="s">
        <v>26</v>
      </c>
      <c r="D55" s="488"/>
      <c r="E55" s="488"/>
      <c r="F55" s="489">
        <v>90211837</v>
      </c>
      <c r="G55" s="489">
        <v>5037633</v>
      </c>
      <c r="H55" s="553">
        <v>0</v>
      </c>
      <c r="I55" s="552"/>
      <c r="J55" s="489">
        <v>90211837</v>
      </c>
      <c r="K55" s="489">
        <v>89619076.769999996</v>
      </c>
      <c r="L55" s="489">
        <v>5037633</v>
      </c>
      <c r="M55" s="490">
        <v>0.99342924110945663</v>
      </c>
      <c r="N55" s="490">
        <v>0</v>
      </c>
      <c r="O55" s="554">
        <v>0</v>
      </c>
      <c r="P55" s="551"/>
      <c r="Q55" s="552"/>
      <c r="R55" s="488">
        <v>16</v>
      </c>
      <c r="S55" s="489">
        <v>89619076.769999996</v>
      </c>
      <c r="T55" s="489">
        <v>5037633</v>
      </c>
      <c r="U55" s="490">
        <v>0.99342924110945663</v>
      </c>
      <c r="V55" s="490">
        <v>0</v>
      </c>
      <c r="W55" s="490">
        <v>0</v>
      </c>
      <c r="X55" s="488">
        <v>16</v>
      </c>
      <c r="Y55" s="489">
        <v>89619076.769999996</v>
      </c>
      <c r="Z55" s="489">
        <v>5037633</v>
      </c>
      <c r="AB55" s="490">
        <v>0.99342924110945663</v>
      </c>
      <c r="AC55" s="490">
        <v>0</v>
      </c>
      <c r="AD55" s="490">
        <v>0</v>
      </c>
      <c r="AE55" s="488">
        <v>16</v>
      </c>
      <c r="AF55" s="489">
        <v>85470515.069999993</v>
      </c>
      <c r="AG55" s="489">
        <v>5019349.8099999996</v>
      </c>
      <c r="AH55" s="490">
        <v>0.94744235249305475</v>
      </c>
      <c r="AI55" s="490">
        <v>0</v>
      </c>
      <c r="AJ55" s="490">
        <v>0</v>
      </c>
    </row>
    <row r="56" spans="2:36" ht="25.5" x14ac:dyDescent="0.25">
      <c r="B56" s="488" t="s">
        <v>434</v>
      </c>
      <c r="C56" s="488" t="s">
        <v>499</v>
      </c>
      <c r="D56" s="488" t="s">
        <v>344</v>
      </c>
      <c r="E56" s="488" t="s">
        <v>487</v>
      </c>
      <c r="F56" s="489">
        <v>90211837</v>
      </c>
      <c r="G56" s="489">
        <v>5037633</v>
      </c>
      <c r="H56" s="553">
        <v>0</v>
      </c>
      <c r="I56" s="552"/>
      <c r="J56" s="489">
        <v>90211837</v>
      </c>
      <c r="K56" s="489">
        <v>89619076.769999996</v>
      </c>
      <c r="L56" s="489">
        <v>5037633</v>
      </c>
      <c r="M56" s="490">
        <v>0.99342924110945663</v>
      </c>
      <c r="N56" s="490">
        <v>0</v>
      </c>
      <c r="O56" s="554">
        <v>0</v>
      </c>
      <c r="P56" s="551"/>
      <c r="Q56" s="552"/>
      <c r="R56" s="488">
        <v>16</v>
      </c>
      <c r="S56" s="489">
        <v>89619076.769999996</v>
      </c>
      <c r="T56" s="489">
        <v>5037633</v>
      </c>
      <c r="U56" s="490">
        <v>0.99342924110945663</v>
      </c>
      <c r="V56" s="490">
        <v>0</v>
      </c>
      <c r="W56" s="490">
        <v>0</v>
      </c>
      <c r="X56" s="488">
        <v>16</v>
      </c>
      <c r="Y56" s="489">
        <v>89619076.769999996</v>
      </c>
      <c r="Z56" s="489">
        <v>5037633</v>
      </c>
      <c r="AB56" s="490">
        <v>0.99342924110945663</v>
      </c>
      <c r="AC56" s="490">
        <v>0</v>
      </c>
      <c r="AD56" s="490">
        <v>0</v>
      </c>
      <c r="AE56" s="488">
        <v>16</v>
      </c>
      <c r="AF56" s="489">
        <v>85470515.069999993</v>
      </c>
      <c r="AG56" s="489">
        <v>5019349.8099999996</v>
      </c>
      <c r="AH56" s="490">
        <v>0.94744235249305475</v>
      </c>
      <c r="AI56" s="490">
        <v>0</v>
      </c>
      <c r="AJ56" s="490">
        <v>0</v>
      </c>
    </row>
    <row r="57" spans="2:36" ht="25.5" x14ac:dyDescent="0.25">
      <c r="B57" s="488" t="s">
        <v>411</v>
      </c>
      <c r="C57" s="488" t="s">
        <v>182</v>
      </c>
      <c r="D57" s="488" t="s">
        <v>344</v>
      </c>
      <c r="E57" s="488" t="s">
        <v>487</v>
      </c>
      <c r="F57" s="489">
        <v>6732853</v>
      </c>
      <c r="G57" s="489">
        <v>0</v>
      </c>
      <c r="H57" s="553">
        <v>0</v>
      </c>
      <c r="I57" s="552"/>
      <c r="J57" s="489">
        <v>6732853</v>
      </c>
      <c r="K57" s="489">
        <v>6552472.9299999997</v>
      </c>
      <c r="L57" s="489">
        <v>0</v>
      </c>
      <c r="M57" s="490">
        <v>0.97320896951114189</v>
      </c>
      <c r="N57" s="490">
        <v>0</v>
      </c>
      <c r="O57" s="554">
        <v>0</v>
      </c>
      <c r="P57" s="551"/>
      <c r="Q57" s="552"/>
      <c r="R57" s="488">
        <v>14</v>
      </c>
      <c r="S57" s="489">
        <v>6552472.9299999997</v>
      </c>
      <c r="T57" s="489">
        <v>0</v>
      </c>
      <c r="U57" s="490">
        <v>0.97320896951114189</v>
      </c>
      <c r="V57" s="490">
        <v>0</v>
      </c>
      <c r="W57" s="490">
        <v>0</v>
      </c>
      <c r="X57" s="488">
        <v>14</v>
      </c>
      <c r="Y57" s="489">
        <v>6552472.9299999997</v>
      </c>
      <c r="Z57" s="489">
        <v>0</v>
      </c>
      <c r="AB57" s="490">
        <v>0.97320896951114189</v>
      </c>
      <c r="AC57" s="490">
        <v>0</v>
      </c>
      <c r="AD57" s="490">
        <v>0</v>
      </c>
      <c r="AE57" s="488">
        <v>14</v>
      </c>
      <c r="AF57" s="489">
        <v>6552472.9299999997</v>
      </c>
      <c r="AG57" s="489">
        <v>0</v>
      </c>
      <c r="AH57" s="490">
        <v>0.97320896951114189</v>
      </c>
      <c r="AI57" s="490">
        <v>0</v>
      </c>
      <c r="AJ57" s="490">
        <v>0</v>
      </c>
    </row>
    <row r="58" spans="2:36" ht="51" x14ac:dyDescent="0.25">
      <c r="B58" s="488" t="s">
        <v>364</v>
      </c>
      <c r="C58" s="488" t="s">
        <v>1566</v>
      </c>
      <c r="D58" s="488" t="s">
        <v>344</v>
      </c>
      <c r="E58" s="488" t="s">
        <v>487</v>
      </c>
      <c r="F58" s="489">
        <v>83478984</v>
      </c>
      <c r="G58" s="489">
        <v>5037633</v>
      </c>
      <c r="H58" s="553">
        <v>0</v>
      </c>
      <c r="I58" s="552"/>
      <c r="J58" s="489">
        <v>83478984</v>
      </c>
      <c r="K58" s="489">
        <v>83066603.840000004</v>
      </c>
      <c r="L58" s="489">
        <v>5037633</v>
      </c>
      <c r="M58" s="490">
        <v>0.99506007212545855</v>
      </c>
      <c r="N58" s="490">
        <v>0</v>
      </c>
      <c r="O58" s="554">
        <v>0</v>
      </c>
      <c r="P58" s="551"/>
      <c r="Q58" s="552"/>
      <c r="R58" s="488">
        <v>2</v>
      </c>
      <c r="S58" s="489">
        <v>83066603.840000004</v>
      </c>
      <c r="T58" s="489">
        <v>5037633</v>
      </c>
      <c r="U58" s="490">
        <v>0.99506007212545855</v>
      </c>
      <c r="V58" s="490">
        <v>0</v>
      </c>
      <c r="W58" s="490">
        <v>0</v>
      </c>
      <c r="X58" s="488">
        <v>2</v>
      </c>
      <c r="Y58" s="489">
        <v>83066603.840000004</v>
      </c>
      <c r="Z58" s="489">
        <v>5037633</v>
      </c>
      <c r="AB58" s="490">
        <v>0.99506007212545855</v>
      </c>
      <c r="AC58" s="490">
        <v>0</v>
      </c>
      <c r="AD58" s="490">
        <v>0</v>
      </c>
      <c r="AE58" s="488">
        <v>2</v>
      </c>
      <c r="AF58" s="489">
        <v>78918042.140000001</v>
      </c>
      <c r="AG58" s="489">
        <v>5019349.8099999996</v>
      </c>
      <c r="AH58" s="490">
        <v>0.94536419058478238</v>
      </c>
      <c r="AI58" s="490">
        <v>0</v>
      </c>
      <c r="AJ58" s="490">
        <v>0</v>
      </c>
    </row>
    <row r="59" spans="2:36" ht="25.5" x14ac:dyDescent="0.25">
      <c r="B59" s="488" t="s">
        <v>500</v>
      </c>
      <c r="C59" s="488" t="s">
        <v>501</v>
      </c>
      <c r="D59" s="488"/>
      <c r="E59" s="488"/>
      <c r="F59" s="489">
        <v>59016742</v>
      </c>
      <c r="G59" s="489">
        <v>0</v>
      </c>
      <c r="H59" s="553">
        <v>290005</v>
      </c>
      <c r="I59" s="552"/>
      <c r="J59" s="489">
        <v>59306747</v>
      </c>
      <c r="K59" s="489">
        <v>55993158.270000003</v>
      </c>
      <c r="L59" s="489">
        <v>0</v>
      </c>
      <c r="M59" s="490">
        <v>0.94876735604957663</v>
      </c>
      <c r="N59" s="490">
        <v>0</v>
      </c>
      <c r="O59" s="554">
        <v>0</v>
      </c>
      <c r="P59" s="551"/>
      <c r="Q59" s="552"/>
      <c r="R59" s="488">
        <v>100</v>
      </c>
      <c r="S59" s="489">
        <v>55993158.270000003</v>
      </c>
      <c r="T59" s="489">
        <v>0</v>
      </c>
      <c r="U59" s="490">
        <v>0.94876735604957663</v>
      </c>
      <c r="V59" s="490">
        <v>0</v>
      </c>
      <c r="W59" s="490">
        <v>0</v>
      </c>
      <c r="X59" s="488">
        <v>100</v>
      </c>
      <c r="Y59" s="489">
        <v>55993158.270000003</v>
      </c>
      <c r="Z59" s="489">
        <v>0</v>
      </c>
      <c r="AB59" s="490">
        <v>0.94876735604957663</v>
      </c>
      <c r="AC59" s="490">
        <v>0</v>
      </c>
      <c r="AD59" s="490">
        <v>0</v>
      </c>
      <c r="AE59" s="488">
        <v>100</v>
      </c>
      <c r="AF59" s="489">
        <v>56111641.82</v>
      </c>
      <c r="AG59" s="489">
        <v>0</v>
      </c>
      <c r="AH59" s="490">
        <v>0.95077498212286948</v>
      </c>
      <c r="AI59" s="490">
        <v>0</v>
      </c>
      <c r="AJ59" s="490">
        <v>0</v>
      </c>
    </row>
    <row r="60" spans="2:36" ht="63.75" x14ac:dyDescent="0.25">
      <c r="B60" s="488" t="s">
        <v>262</v>
      </c>
      <c r="C60" s="488" t="s">
        <v>40</v>
      </c>
      <c r="D60" s="488" t="s">
        <v>344</v>
      </c>
      <c r="E60" s="488" t="s">
        <v>1607</v>
      </c>
      <c r="F60" s="489">
        <v>59016742</v>
      </c>
      <c r="G60" s="489">
        <v>0</v>
      </c>
      <c r="H60" s="553">
        <v>290005</v>
      </c>
      <c r="I60" s="552"/>
      <c r="J60" s="489">
        <v>59306747</v>
      </c>
      <c r="K60" s="489">
        <v>55993158.270000003</v>
      </c>
      <c r="L60" s="489">
        <v>0</v>
      </c>
      <c r="M60" s="490">
        <v>0.94876735604957663</v>
      </c>
      <c r="N60" s="490">
        <v>0</v>
      </c>
      <c r="O60" s="554">
        <v>0</v>
      </c>
      <c r="P60" s="551"/>
      <c r="Q60" s="552"/>
      <c r="R60" s="488">
        <v>100</v>
      </c>
      <c r="S60" s="489">
        <v>55993158.270000003</v>
      </c>
      <c r="T60" s="489">
        <v>0</v>
      </c>
      <c r="U60" s="490">
        <v>0.94876735604957663</v>
      </c>
      <c r="V60" s="490">
        <v>0</v>
      </c>
      <c r="W60" s="490">
        <v>0</v>
      </c>
      <c r="X60" s="488">
        <v>100</v>
      </c>
      <c r="Y60" s="489">
        <v>55993158.270000003</v>
      </c>
      <c r="Z60" s="489">
        <v>0</v>
      </c>
      <c r="AB60" s="490">
        <v>0.94876735604957663</v>
      </c>
      <c r="AC60" s="490">
        <v>0</v>
      </c>
      <c r="AD60" s="490">
        <v>0</v>
      </c>
      <c r="AE60" s="488">
        <v>100</v>
      </c>
      <c r="AF60" s="489">
        <v>56111641.82</v>
      </c>
      <c r="AG60" s="489">
        <v>0</v>
      </c>
      <c r="AH60" s="490">
        <v>0.95077498212286948</v>
      </c>
      <c r="AI60" s="490">
        <v>0</v>
      </c>
      <c r="AJ60" s="490">
        <v>0</v>
      </c>
    </row>
    <row r="61" spans="2:36" ht="51" x14ac:dyDescent="0.25">
      <c r="B61" s="488" t="s">
        <v>502</v>
      </c>
      <c r="C61" s="488" t="s">
        <v>503</v>
      </c>
      <c r="D61" s="488"/>
      <c r="E61" s="488"/>
      <c r="F61" s="489">
        <v>17799857</v>
      </c>
      <c r="G61" s="489">
        <v>0</v>
      </c>
      <c r="H61" s="553">
        <v>0</v>
      </c>
      <c r="I61" s="552"/>
      <c r="J61" s="489">
        <v>17799857</v>
      </c>
      <c r="K61" s="489">
        <v>17720662.949999999</v>
      </c>
      <c r="L61" s="489">
        <v>0</v>
      </c>
      <c r="M61" s="490">
        <v>0.99555086032432727</v>
      </c>
      <c r="N61" s="490">
        <v>0</v>
      </c>
      <c r="O61" s="554">
        <v>0</v>
      </c>
      <c r="P61" s="551"/>
      <c r="Q61" s="552"/>
      <c r="R61" s="488">
        <v>8</v>
      </c>
      <c r="S61" s="489">
        <v>17720662.949999999</v>
      </c>
      <c r="T61" s="489">
        <v>0</v>
      </c>
      <c r="U61" s="490">
        <v>0.99555086032432727</v>
      </c>
      <c r="V61" s="490">
        <v>0</v>
      </c>
      <c r="W61" s="490">
        <v>0</v>
      </c>
      <c r="X61" s="488">
        <v>8</v>
      </c>
      <c r="Y61" s="489">
        <v>17720662.949999999</v>
      </c>
      <c r="Z61" s="489">
        <v>0</v>
      </c>
      <c r="AB61" s="490">
        <v>0.99555086032432727</v>
      </c>
      <c r="AC61" s="490">
        <v>0</v>
      </c>
      <c r="AD61" s="490">
        <v>0</v>
      </c>
      <c r="AE61" s="488">
        <v>8</v>
      </c>
      <c r="AF61" s="489">
        <v>17720662.949999999</v>
      </c>
      <c r="AG61" s="489">
        <v>0</v>
      </c>
      <c r="AH61" s="490">
        <v>0.99555086032432727</v>
      </c>
      <c r="AI61" s="490">
        <v>0</v>
      </c>
      <c r="AJ61" s="490">
        <v>0</v>
      </c>
    </row>
    <row r="62" spans="2:36" ht="38.25" x14ac:dyDescent="0.25">
      <c r="B62" s="488" t="s">
        <v>417</v>
      </c>
      <c r="C62" s="488" t="s">
        <v>504</v>
      </c>
      <c r="D62" s="488" t="s">
        <v>346</v>
      </c>
      <c r="E62" s="488" t="s">
        <v>505</v>
      </c>
      <c r="F62" s="489">
        <v>9230484</v>
      </c>
      <c r="G62" s="489">
        <v>0</v>
      </c>
      <c r="H62" s="553">
        <v>0</v>
      </c>
      <c r="I62" s="552"/>
      <c r="J62" s="489">
        <v>9230484</v>
      </c>
      <c r="K62" s="489">
        <v>9219650.8000000007</v>
      </c>
      <c r="L62" s="489">
        <v>0</v>
      </c>
      <c r="M62" s="490">
        <v>0.9988263670680757</v>
      </c>
      <c r="N62" s="490">
        <v>0</v>
      </c>
      <c r="O62" s="554">
        <v>0</v>
      </c>
      <c r="P62" s="551"/>
      <c r="Q62" s="552"/>
      <c r="R62" s="488">
        <v>1</v>
      </c>
      <c r="S62" s="489">
        <v>9219650.8000000007</v>
      </c>
      <c r="T62" s="489">
        <v>0</v>
      </c>
      <c r="U62" s="490">
        <v>0.9988263670680757</v>
      </c>
      <c r="V62" s="490">
        <v>0</v>
      </c>
      <c r="W62" s="490">
        <v>0</v>
      </c>
      <c r="X62" s="488">
        <v>1</v>
      </c>
      <c r="Y62" s="489">
        <v>9219650.8000000007</v>
      </c>
      <c r="Z62" s="489">
        <v>0</v>
      </c>
      <c r="AB62" s="490">
        <v>0.9988263670680757</v>
      </c>
      <c r="AC62" s="490">
        <v>0</v>
      </c>
      <c r="AD62" s="490">
        <v>0</v>
      </c>
      <c r="AE62" s="488">
        <v>1</v>
      </c>
      <c r="AF62" s="489">
        <v>9219650.8000000007</v>
      </c>
      <c r="AG62" s="489">
        <v>0</v>
      </c>
      <c r="AH62" s="490">
        <v>0.9988263670680757</v>
      </c>
      <c r="AI62" s="490">
        <v>0</v>
      </c>
      <c r="AJ62" s="490">
        <v>0</v>
      </c>
    </row>
    <row r="63" spans="2:36" ht="51" x14ac:dyDescent="0.25">
      <c r="B63" s="488" t="s">
        <v>418</v>
      </c>
      <c r="C63" s="488" t="s">
        <v>1252</v>
      </c>
      <c r="D63" s="488" t="s">
        <v>346</v>
      </c>
      <c r="E63" s="488" t="s">
        <v>507</v>
      </c>
      <c r="F63" s="489">
        <v>8569373</v>
      </c>
      <c r="G63" s="489">
        <v>0</v>
      </c>
      <c r="H63" s="553">
        <v>0</v>
      </c>
      <c r="I63" s="552"/>
      <c r="J63" s="489">
        <v>8569373</v>
      </c>
      <c r="K63" s="489">
        <v>8501012.1500000004</v>
      </c>
      <c r="L63" s="489">
        <v>0</v>
      </c>
      <c r="M63" s="490">
        <v>0.99202265439956927</v>
      </c>
      <c r="N63" s="490">
        <v>0</v>
      </c>
      <c r="O63" s="554">
        <v>0</v>
      </c>
      <c r="P63" s="551"/>
      <c r="Q63" s="552"/>
      <c r="R63" s="488">
        <v>7</v>
      </c>
      <c r="S63" s="489">
        <v>8501012.1500000004</v>
      </c>
      <c r="T63" s="489">
        <v>0</v>
      </c>
      <c r="U63" s="490">
        <v>0.99202265439956927</v>
      </c>
      <c r="V63" s="490">
        <v>0</v>
      </c>
      <c r="W63" s="490">
        <v>0</v>
      </c>
      <c r="X63" s="488">
        <v>7</v>
      </c>
      <c r="Y63" s="489">
        <v>8501012.1500000004</v>
      </c>
      <c r="Z63" s="489">
        <v>0</v>
      </c>
      <c r="AB63" s="490">
        <v>0.99202265439956927</v>
      </c>
      <c r="AC63" s="490">
        <v>0</v>
      </c>
      <c r="AD63" s="490">
        <v>0</v>
      </c>
      <c r="AE63" s="488">
        <v>7</v>
      </c>
      <c r="AF63" s="489">
        <v>8501012.1500000004</v>
      </c>
      <c r="AG63" s="489">
        <v>0</v>
      </c>
      <c r="AH63" s="490">
        <v>0.99202265439956927</v>
      </c>
      <c r="AI63" s="490">
        <v>0</v>
      </c>
      <c r="AJ63" s="490">
        <v>0</v>
      </c>
    </row>
    <row r="64" spans="2:36" ht="51" x14ac:dyDescent="0.25">
      <c r="B64" s="488" t="s">
        <v>458</v>
      </c>
      <c r="C64" s="488" t="s">
        <v>506</v>
      </c>
      <c r="D64" s="488" t="s">
        <v>346</v>
      </c>
      <c r="E64" s="488" t="s">
        <v>507</v>
      </c>
      <c r="F64" s="489">
        <v>6954373</v>
      </c>
      <c r="G64" s="489">
        <v>0</v>
      </c>
      <c r="H64" s="553">
        <v>0</v>
      </c>
      <c r="I64" s="552"/>
      <c r="J64" s="489">
        <v>6954373</v>
      </c>
      <c r="K64" s="489">
        <v>6888432.3399999999</v>
      </c>
      <c r="L64" s="489">
        <v>0</v>
      </c>
      <c r="M64" s="490">
        <v>0.99051810134429086</v>
      </c>
      <c r="N64" s="490">
        <v>0</v>
      </c>
      <c r="O64" s="554">
        <v>0</v>
      </c>
      <c r="P64" s="551"/>
      <c r="Q64" s="552"/>
      <c r="R64" s="488">
        <v>4</v>
      </c>
      <c r="S64" s="489">
        <v>6888432.3399999999</v>
      </c>
      <c r="T64" s="489">
        <v>0</v>
      </c>
      <c r="U64" s="490">
        <v>0.99051810134429086</v>
      </c>
      <c r="V64" s="490">
        <v>0</v>
      </c>
      <c r="W64" s="490">
        <v>0</v>
      </c>
      <c r="X64" s="488">
        <v>4</v>
      </c>
      <c r="Y64" s="489">
        <v>6888432.3399999999</v>
      </c>
      <c r="Z64" s="489">
        <v>0</v>
      </c>
      <c r="AB64" s="490">
        <v>0.99051810134429086</v>
      </c>
      <c r="AC64" s="490">
        <v>0</v>
      </c>
      <c r="AD64" s="490">
        <v>0</v>
      </c>
      <c r="AE64" s="488">
        <v>4</v>
      </c>
      <c r="AF64" s="489">
        <v>6888432.3399999999</v>
      </c>
      <c r="AG64" s="489">
        <v>0</v>
      </c>
      <c r="AH64" s="490">
        <v>0.99051810134429086</v>
      </c>
      <c r="AI64" s="490">
        <v>0</v>
      </c>
      <c r="AJ64" s="490">
        <v>0</v>
      </c>
    </row>
    <row r="65" spans="2:36" ht="25.5" x14ac:dyDescent="0.25">
      <c r="B65" s="488" t="s">
        <v>457</v>
      </c>
      <c r="C65" s="488" t="s">
        <v>459</v>
      </c>
      <c r="D65" s="488" t="s">
        <v>346</v>
      </c>
      <c r="E65" s="488" t="s">
        <v>507</v>
      </c>
      <c r="F65" s="489">
        <v>1275000</v>
      </c>
      <c r="G65" s="489">
        <v>0</v>
      </c>
      <c r="H65" s="553">
        <v>0</v>
      </c>
      <c r="I65" s="552"/>
      <c r="J65" s="489">
        <v>1275000</v>
      </c>
      <c r="K65" s="489">
        <v>1273647.76</v>
      </c>
      <c r="L65" s="489">
        <v>0</v>
      </c>
      <c r="M65" s="490">
        <v>0.99893941960784316</v>
      </c>
      <c r="N65" s="490">
        <v>0</v>
      </c>
      <c r="O65" s="554">
        <v>0</v>
      </c>
      <c r="P65" s="551"/>
      <c r="Q65" s="552"/>
      <c r="R65" s="488">
        <v>2</v>
      </c>
      <c r="S65" s="489">
        <v>1273647.76</v>
      </c>
      <c r="T65" s="489">
        <v>0</v>
      </c>
      <c r="U65" s="490">
        <v>0.99893941960784316</v>
      </c>
      <c r="V65" s="490">
        <v>0</v>
      </c>
      <c r="W65" s="490">
        <v>0</v>
      </c>
      <c r="X65" s="488">
        <v>2</v>
      </c>
      <c r="Y65" s="489">
        <v>1273647.76</v>
      </c>
      <c r="Z65" s="489">
        <v>0</v>
      </c>
      <c r="AB65" s="490">
        <v>0.99893941960784316</v>
      </c>
      <c r="AC65" s="490">
        <v>0</v>
      </c>
      <c r="AD65" s="490">
        <v>0</v>
      </c>
      <c r="AE65" s="488">
        <v>2</v>
      </c>
      <c r="AF65" s="489">
        <v>1273647.76</v>
      </c>
      <c r="AG65" s="489">
        <v>0</v>
      </c>
      <c r="AH65" s="490">
        <v>0.99893941960784316</v>
      </c>
      <c r="AI65" s="490">
        <v>0</v>
      </c>
      <c r="AJ65" s="490">
        <v>0</v>
      </c>
    </row>
    <row r="66" spans="2:36" ht="25.5" x14ac:dyDescent="0.25">
      <c r="B66" s="488" t="s">
        <v>1242</v>
      </c>
      <c r="C66" s="488" t="s">
        <v>1241</v>
      </c>
      <c r="D66" s="488" t="s">
        <v>346</v>
      </c>
      <c r="E66" s="488" t="s">
        <v>507</v>
      </c>
      <c r="F66" s="489">
        <v>340000</v>
      </c>
      <c r="G66" s="489">
        <v>0</v>
      </c>
      <c r="H66" s="553">
        <v>0</v>
      </c>
      <c r="I66" s="552"/>
      <c r="J66" s="489">
        <v>340000</v>
      </c>
      <c r="K66" s="489">
        <v>338932.05</v>
      </c>
      <c r="L66" s="489">
        <v>0</v>
      </c>
      <c r="M66" s="490">
        <v>0.99685897058823525</v>
      </c>
      <c r="N66" s="490">
        <v>0</v>
      </c>
      <c r="O66" s="554">
        <v>0</v>
      </c>
      <c r="P66" s="551"/>
      <c r="Q66" s="552"/>
      <c r="R66" s="488">
        <v>1</v>
      </c>
      <c r="S66" s="489">
        <v>338932.05</v>
      </c>
      <c r="T66" s="489">
        <v>0</v>
      </c>
      <c r="U66" s="490">
        <v>0.99685897058823525</v>
      </c>
      <c r="V66" s="490">
        <v>0</v>
      </c>
      <c r="W66" s="490">
        <v>0</v>
      </c>
      <c r="X66" s="488">
        <v>1</v>
      </c>
      <c r="Y66" s="489">
        <v>338932.05</v>
      </c>
      <c r="Z66" s="489">
        <v>0</v>
      </c>
      <c r="AB66" s="490">
        <v>0.99685897058823525</v>
      </c>
      <c r="AC66" s="490">
        <v>0</v>
      </c>
      <c r="AD66" s="490">
        <v>0</v>
      </c>
      <c r="AE66" s="488">
        <v>1</v>
      </c>
      <c r="AF66" s="489">
        <v>338932.05</v>
      </c>
      <c r="AG66" s="489">
        <v>0</v>
      </c>
      <c r="AH66" s="490">
        <v>0.99685897058823525</v>
      </c>
      <c r="AI66" s="490">
        <v>0</v>
      </c>
      <c r="AJ66" s="490">
        <v>0</v>
      </c>
    </row>
    <row r="67" spans="2:36" ht="25.5" x14ac:dyDescent="0.25">
      <c r="B67" s="485" t="s">
        <v>263</v>
      </c>
      <c r="C67" s="485" t="s">
        <v>30</v>
      </c>
      <c r="D67" s="485"/>
      <c r="E67" s="485"/>
      <c r="F67" s="486">
        <v>499352316.00999999</v>
      </c>
      <c r="G67" s="486">
        <v>76960155</v>
      </c>
      <c r="H67" s="555">
        <v>61392669</v>
      </c>
      <c r="I67" s="552"/>
      <c r="J67" s="486">
        <v>560744985.00999999</v>
      </c>
      <c r="K67" s="486">
        <v>658105177.01999998</v>
      </c>
      <c r="L67" s="486">
        <v>38376998.420000002</v>
      </c>
      <c r="M67" s="487">
        <v>1.317917542224478</v>
      </c>
      <c r="N67" s="487">
        <v>0</v>
      </c>
      <c r="O67" s="550">
        <v>0</v>
      </c>
      <c r="P67" s="551"/>
      <c r="Q67" s="552"/>
      <c r="R67" s="485">
        <v>561</v>
      </c>
      <c r="S67" s="486">
        <v>658105177.01999998</v>
      </c>
      <c r="T67" s="486">
        <v>38376998.420000002</v>
      </c>
      <c r="U67" s="487">
        <v>1.317917542224478</v>
      </c>
      <c r="V67" s="487">
        <v>0</v>
      </c>
      <c r="W67" s="487">
        <v>0</v>
      </c>
      <c r="X67" s="485">
        <v>561</v>
      </c>
      <c r="Y67" s="486">
        <v>658105177.01999998</v>
      </c>
      <c r="Z67" s="486">
        <v>38376998.420000002</v>
      </c>
      <c r="AB67" s="487">
        <v>1.317917542224478</v>
      </c>
      <c r="AC67" s="487">
        <v>0</v>
      </c>
      <c r="AD67" s="487">
        <v>0</v>
      </c>
      <c r="AE67" s="485">
        <v>561</v>
      </c>
      <c r="AF67" s="486">
        <v>693530356.83000004</v>
      </c>
      <c r="AG67" s="486">
        <v>54043735.109999999</v>
      </c>
      <c r="AH67" s="487">
        <v>1.3888597981712603</v>
      </c>
      <c r="AI67" s="487">
        <v>0</v>
      </c>
      <c r="AJ67" s="487">
        <v>0</v>
      </c>
    </row>
    <row r="68" spans="2:36" ht="25.5" x14ac:dyDescent="0.25">
      <c r="B68" s="488" t="s">
        <v>508</v>
      </c>
      <c r="C68" s="488" t="s">
        <v>43</v>
      </c>
      <c r="D68" s="488"/>
      <c r="E68" s="488"/>
      <c r="F68" s="489">
        <v>20301399</v>
      </c>
      <c r="G68" s="489">
        <v>0</v>
      </c>
      <c r="H68" s="553">
        <v>0</v>
      </c>
      <c r="I68" s="552"/>
      <c r="J68" s="489">
        <v>20301399</v>
      </c>
      <c r="K68" s="489">
        <v>18616425.510000002</v>
      </c>
      <c r="L68" s="489">
        <v>0</v>
      </c>
      <c r="M68" s="490">
        <v>0.91700209970751279</v>
      </c>
      <c r="N68" s="490">
        <v>0</v>
      </c>
      <c r="O68" s="554">
        <v>0</v>
      </c>
      <c r="P68" s="551"/>
      <c r="Q68" s="552"/>
      <c r="R68" s="488">
        <v>69</v>
      </c>
      <c r="S68" s="489">
        <v>18616425.510000002</v>
      </c>
      <c r="T68" s="489">
        <v>0</v>
      </c>
      <c r="U68" s="490">
        <v>0.91700209970751279</v>
      </c>
      <c r="V68" s="490">
        <v>0</v>
      </c>
      <c r="W68" s="490">
        <v>0</v>
      </c>
      <c r="X68" s="488">
        <v>69</v>
      </c>
      <c r="Y68" s="489">
        <v>18616425.510000002</v>
      </c>
      <c r="Z68" s="489">
        <v>0</v>
      </c>
      <c r="AB68" s="490">
        <v>0.91700209970751279</v>
      </c>
      <c r="AC68" s="490">
        <v>0</v>
      </c>
      <c r="AD68" s="490">
        <v>0</v>
      </c>
      <c r="AE68" s="488">
        <v>69</v>
      </c>
      <c r="AF68" s="489">
        <v>18616425.510000002</v>
      </c>
      <c r="AG68" s="489">
        <v>0</v>
      </c>
      <c r="AH68" s="490">
        <v>0.91700209970751279</v>
      </c>
      <c r="AI68" s="490">
        <v>0</v>
      </c>
      <c r="AJ68" s="490">
        <v>0</v>
      </c>
    </row>
    <row r="69" spans="2:36" ht="38.25" x14ac:dyDescent="0.25">
      <c r="B69" s="488" t="s">
        <v>264</v>
      </c>
      <c r="C69" s="488" t="s">
        <v>509</v>
      </c>
      <c r="D69" s="488" t="s">
        <v>345</v>
      </c>
      <c r="E69" s="488" t="s">
        <v>487</v>
      </c>
      <c r="F69" s="489">
        <v>20301399</v>
      </c>
      <c r="G69" s="489">
        <v>0</v>
      </c>
      <c r="H69" s="553">
        <v>0</v>
      </c>
      <c r="I69" s="552"/>
      <c r="J69" s="489">
        <v>20301399</v>
      </c>
      <c r="K69" s="489">
        <v>18616425.510000002</v>
      </c>
      <c r="L69" s="489">
        <v>0</v>
      </c>
      <c r="M69" s="490">
        <v>0.91700209970751279</v>
      </c>
      <c r="N69" s="490">
        <v>0</v>
      </c>
      <c r="O69" s="554">
        <v>0</v>
      </c>
      <c r="P69" s="551"/>
      <c r="Q69" s="552"/>
      <c r="R69" s="488">
        <v>69</v>
      </c>
      <c r="S69" s="489">
        <v>18616425.510000002</v>
      </c>
      <c r="T69" s="489">
        <v>0</v>
      </c>
      <c r="U69" s="490">
        <v>0.91700209970751279</v>
      </c>
      <c r="V69" s="490">
        <v>0</v>
      </c>
      <c r="W69" s="490">
        <v>0</v>
      </c>
      <c r="X69" s="488">
        <v>69</v>
      </c>
      <c r="Y69" s="489">
        <v>18616425.510000002</v>
      </c>
      <c r="Z69" s="489">
        <v>0</v>
      </c>
      <c r="AB69" s="490">
        <v>0.91700209970751279</v>
      </c>
      <c r="AC69" s="490">
        <v>0</v>
      </c>
      <c r="AD69" s="490">
        <v>0</v>
      </c>
      <c r="AE69" s="488">
        <v>69</v>
      </c>
      <c r="AF69" s="489">
        <v>18616425.510000002</v>
      </c>
      <c r="AG69" s="489">
        <v>0</v>
      </c>
      <c r="AH69" s="490">
        <v>0.91700209970751279</v>
      </c>
      <c r="AI69" s="490">
        <v>0</v>
      </c>
      <c r="AJ69" s="490">
        <v>0</v>
      </c>
    </row>
    <row r="70" spans="2:36" ht="51" x14ac:dyDescent="0.25">
      <c r="B70" s="488" t="s">
        <v>510</v>
      </c>
      <c r="C70" s="488" t="s">
        <v>511</v>
      </c>
      <c r="D70" s="488"/>
      <c r="E70" s="488"/>
      <c r="F70" s="489">
        <v>360995819.00999999</v>
      </c>
      <c r="G70" s="489">
        <v>76960155</v>
      </c>
      <c r="H70" s="553">
        <v>4842669</v>
      </c>
      <c r="I70" s="552"/>
      <c r="J70" s="489">
        <v>365838488.00999999</v>
      </c>
      <c r="K70" s="489">
        <v>296591262.24000001</v>
      </c>
      <c r="L70" s="489">
        <v>38376998.420000002</v>
      </c>
      <c r="M70" s="490">
        <v>0.82159195930129059</v>
      </c>
      <c r="N70" s="490">
        <v>0</v>
      </c>
      <c r="O70" s="554">
        <v>0</v>
      </c>
      <c r="P70" s="551"/>
      <c r="Q70" s="552"/>
      <c r="R70" s="488">
        <v>344</v>
      </c>
      <c r="S70" s="489">
        <v>296591262.24000001</v>
      </c>
      <c r="T70" s="489">
        <v>38376998.420000002</v>
      </c>
      <c r="U70" s="490">
        <v>0.82159195930129059</v>
      </c>
      <c r="V70" s="490">
        <v>0</v>
      </c>
      <c r="W70" s="490">
        <v>0</v>
      </c>
      <c r="X70" s="488">
        <v>344</v>
      </c>
      <c r="Y70" s="489">
        <v>296591262.24000001</v>
      </c>
      <c r="Z70" s="489">
        <v>38376998.420000002</v>
      </c>
      <c r="AB70" s="490">
        <v>0.82159195930129059</v>
      </c>
      <c r="AC70" s="490">
        <v>0</v>
      </c>
      <c r="AD70" s="490">
        <v>0</v>
      </c>
      <c r="AE70" s="488">
        <v>344</v>
      </c>
      <c r="AF70" s="489">
        <v>330366554.91000003</v>
      </c>
      <c r="AG70" s="489">
        <v>54043735.109999999</v>
      </c>
      <c r="AH70" s="490">
        <v>0.9151534104079152</v>
      </c>
      <c r="AI70" s="490">
        <v>0</v>
      </c>
      <c r="AJ70" s="490">
        <v>0</v>
      </c>
    </row>
    <row r="71" spans="2:36" ht="25.5" x14ac:dyDescent="0.25">
      <c r="B71" s="488" t="s">
        <v>435</v>
      </c>
      <c r="C71" s="488" t="s">
        <v>34</v>
      </c>
      <c r="D71" s="488" t="s">
        <v>344</v>
      </c>
      <c r="E71" s="488" t="s">
        <v>487</v>
      </c>
      <c r="F71" s="489">
        <v>264334283</v>
      </c>
      <c r="G71" s="489">
        <v>29482994</v>
      </c>
      <c r="H71" s="553">
        <v>0</v>
      </c>
      <c r="I71" s="552"/>
      <c r="J71" s="489">
        <v>264334283</v>
      </c>
      <c r="K71" s="489">
        <v>221470244.38999999</v>
      </c>
      <c r="L71" s="489">
        <v>13651810.449999999</v>
      </c>
      <c r="M71" s="490">
        <v>0.83784154622879548</v>
      </c>
      <c r="N71" s="490">
        <v>0</v>
      </c>
      <c r="O71" s="554">
        <v>0</v>
      </c>
      <c r="P71" s="551"/>
      <c r="Q71" s="552"/>
      <c r="R71" s="488">
        <v>129</v>
      </c>
      <c r="S71" s="489">
        <v>221470244.38999999</v>
      </c>
      <c r="T71" s="489">
        <v>13651810.449999999</v>
      </c>
      <c r="U71" s="490">
        <v>0.83784154622879548</v>
      </c>
      <c r="V71" s="490">
        <v>0</v>
      </c>
      <c r="W71" s="490">
        <v>0</v>
      </c>
      <c r="X71" s="488">
        <v>129</v>
      </c>
      <c r="Y71" s="489">
        <v>221470244.38999999</v>
      </c>
      <c r="Z71" s="489">
        <v>13651810.449999999</v>
      </c>
      <c r="AB71" s="490">
        <v>0.83784154622879548</v>
      </c>
      <c r="AC71" s="490">
        <v>0</v>
      </c>
      <c r="AD71" s="490">
        <v>0</v>
      </c>
      <c r="AE71" s="488">
        <v>129</v>
      </c>
      <c r="AF71" s="489">
        <v>220797719.40000001</v>
      </c>
      <c r="AG71" s="489">
        <v>13523331.85</v>
      </c>
      <c r="AH71" s="490">
        <v>0.83529732463798501</v>
      </c>
      <c r="AI71" s="490">
        <v>0</v>
      </c>
      <c r="AJ71" s="490">
        <v>0</v>
      </c>
    </row>
    <row r="72" spans="2:36" ht="25.5" x14ac:dyDescent="0.25">
      <c r="B72" s="488" t="s">
        <v>265</v>
      </c>
      <c r="C72" s="488" t="s">
        <v>183</v>
      </c>
      <c r="D72" s="488" t="s">
        <v>344</v>
      </c>
      <c r="E72" s="488" t="s">
        <v>487</v>
      </c>
      <c r="F72" s="489">
        <v>189718106.00999999</v>
      </c>
      <c r="G72" s="489">
        <v>29482994</v>
      </c>
      <c r="H72" s="553">
        <v>0</v>
      </c>
      <c r="I72" s="552"/>
      <c r="J72" s="489">
        <v>189718106.00999999</v>
      </c>
      <c r="K72" s="489">
        <v>135798644.49000001</v>
      </c>
      <c r="L72" s="489">
        <v>13651810.449999999</v>
      </c>
      <c r="M72" s="490">
        <v>0.71579169403494936</v>
      </c>
      <c r="N72" s="490">
        <v>0</v>
      </c>
      <c r="O72" s="554">
        <v>0</v>
      </c>
      <c r="P72" s="551"/>
      <c r="Q72" s="552"/>
      <c r="R72" s="488">
        <v>1</v>
      </c>
      <c r="S72" s="489">
        <v>135798644.49000001</v>
      </c>
      <c r="T72" s="489">
        <v>13651810.449999999</v>
      </c>
      <c r="U72" s="490">
        <v>0.71579169403494936</v>
      </c>
      <c r="V72" s="490">
        <v>0</v>
      </c>
      <c r="W72" s="490">
        <v>0</v>
      </c>
      <c r="X72" s="488">
        <v>1</v>
      </c>
      <c r="Y72" s="489">
        <v>135798644.49000001</v>
      </c>
      <c r="Z72" s="489">
        <v>13651810.449999999</v>
      </c>
      <c r="AB72" s="490">
        <v>0.71579169403494936</v>
      </c>
      <c r="AC72" s="490">
        <v>0</v>
      </c>
      <c r="AD72" s="490">
        <v>0</v>
      </c>
      <c r="AE72" s="488">
        <v>1</v>
      </c>
      <c r="AF72" s="489">
        <v>170286362.5</v>
      </c>
      <c r="AG72" s="489">
        <v>29269254.850000001</v>
      </c>
      <c r="AH72" s="490">
        <v>0.89757570366543848</v>
      </c>
      <c r="AI72" s="490">
        <v>0</v>
      </c>
      <c r="AJ72" s="490">
        <v>0</v>
      </c>
    </row>
    <row r="73" spans="2:36" ht="25.5" x14ac:dyDescent="0.25">
      <c r="B73" s="488" t="s">
        <v>266</v>
      </c>
      <c r="C73" s="488" t="s">
        <v>184</v>
      </c>
      <c r="D73" s="488" t="s">
        <v>344</v>
      </c>
      <c r="E73" s="488" t="s">
        <v>487</v>
      </c>
      <c r="F73" s="489">
        <v>93357972</v>
      </c>
      <c r="G73" s="489">
        <v>0</v>
      </c>
      <c r="H73" s="553">
        <v>0</v>
      </c>
      <c r="I73" s="552"/>
      <c r="J73" s="489">
        <v>93357972</v>
      </c>
      <c r="K73" s="489">
        <v>85671599.900000006</v>
      </c>
      <c r="L73" s="489">
        <v>0</v>
      </c>
      <c r="M73" s="490">
        <v>0.91766774775270399</v>
      </c>
      <c r="N73" s="490">
        <v>0</v>
      </c>
      <c r="O73" s="554">
        <v>0</v>
      </c>
      <c r="P73" s="551"/>
      <c r="Q73" s="552"/>
      <c r="R73" s="488">
        <v>128</v>
      </c>
      <c r="S73" s="489">
        <v>85671599.900000006</v>
      </c>
      <c r="T73" s="489">
        <v>0</v>
      </c>
      <c r="U73" s="490">
        <v>0.91766774775270399</v>
      </c>
      <c r="V73" s="490">
        <v>0</v>
      </c>
      <c r="W73" s="490">
        <v>0</v>
      </c>
      <c r="X73" s="488">
        <v>128</v>
      </c>
      <c r="Y73" s="489">
        <v>85671599.900000006</v>
      </c>
      <c r="Z73" s="489">
        <v>0</v>
      </c>
      <c r="AB73" s="490">
        <v>0.91766774775270399</v>
      </c>
      <c r="AC73" s="490">
        <v>0</v>
      </c>
      <c r="AD73" s="490">
        <v>0</v>
      </c>
      <c r="AE73" s="488">
        <v>128</v>
      </c>
      <c r="AF73" s="489">
        <v>84999074.909999996</v>
      </c>
      <c r="AG73" s="489">
        <v>0</v>
      </c>
      <c r="AH73" s="490">
        <v>0.91046402453986464</v>
      </c>
      <c r="AI73" s="490">
        <v>0</v>
      </c>
      <c r="AJ73" s="490">
        <v>0</v>
      </c>
    </row>
    <row r="74" spans="2:36" ht="63.75" x14ac:dyDescent="0.25">
      <c r="B74" s="488" t="s">
        <v>267</v>
      </c>
      <c r="C74" s="488" t="s">
        <v>512</v>
      </c>
      <c r="D74" s="488" t="s">
        <v>344</v>
      </c>
      <c r="E74" s="488" t="s">
        <v>1607</v>
      </c>
      <c r="F74" s="489">
        <v>77919741</v>
      </c>
      <c r="G74" s="489">
        <v>28808246</v>
      </c>
      <c r="H74" s="553">
        <v>4842669</v>
      </c>
      <c r="I74" s="552"/>
      <c r="J74" s="489">
        <v>82762410</v>
      </c>
      <c r="K74" s="489">
        <v>75121017.849999994</v>
      </c>
      <c r="L74" s="489">
        <v>24725187.969999999</v>
      </c>
      <c r="M74" s="490">
        <v>0.96408197570882581</v>
      </c>
      <c r="N74" s="490">
        <v>0</v>
      </c>
      <c r="O74" s="554">
        <v>0</v>
      </c>
      <c r="P74" s="551"/>
      <c r="Q74" s="552"/>
      <c r="R74" s="488">
        <v>215</v>
      </c>
      <c r="S74" s="489">
        <v>75121017.849999994</v>
      </c>
      <c r="T74" s="489">
        <v>24725187.969999999</v>
      </c>
      <c r="U74" s="490">
        <v>0.96408197570882581</v>
      </c>
      <c r="V74" s="490">
        <v>0</v>
      </c>
      <c r="W74" s="490">
        <v>0</v>
      </c>
      <c r="X74" s="488">
        <v>215</v>
      </c>
      <c r="Y74" s="489">
        <v>75121017.849999994</v>
      </c>
      <c r="Z74" s="489">
        <v>24725187.969999999</v>
      </c>
      <c r="AB74" s="490">
        <v>0.96408197570882581</v>
      </c>
      <c r="AC74" s="490">
        <v>0</v>
      </c>
      <c r="AD74" s="490">
        <v>0</v>
      </c>
      <c r="AE74" s="488">
        <v>215</v>
      </c>
      <c r="AF74" s="489">
        <v>75081117.5</v>
      </c>
      <c r="AG74" s="489">
        <v>24774480.260000002</v>
      </c>
      <c r="AH74" s="490">
        <v>0.96356990585992841</v>
      </c>
      <c r="AI74" s="490">
        <v>0</v>
      </c>
      <c r="AJ74" s="490">
        <v>0</v>
      </c>
    </row>
    <row r="75" spans="2:36" ht="25.5" x14ac:dyDescent="0.25">
      <c r="B75" s="488" t="s">
        <v>513</v>
      </c>
      <c r="C75" s="488" t="s">
        <v>514</v>
      </c>
      <c r="D75" s="488"/>
      <c r="E75" s="488"/>
      <c r="F75" s="489">
        <v>55281238</v>
      </c>
      <c r="G75" s="489">
        <v>0</v>
      </c>
      <c r="H75" s="553">
        <v>56550000</v>
      </c>
      <c r="I75" s="552"/>
      <c r="J75" s="489">
        <v>111831238</v>
      </c>
      <c r="K75" s="489">
        <v>71161229.680000007</v>
      </c>
      <c r="L75" s="489">
        <v>0</v>
      </c>
      <c r="M75" s="490">
        <v>1.2872582498966467</v>
      </c>
      <c r="N75" s="490">
        <v>0</v>
      </c>
      <c r="O75" s="554">
        <v>0</v>
      </c>
      <c r="P75" s="551"/>
      <c r="Q75" s="552"/>
      <c r="R75" s="488">
        <v>125</v>
      </c>
      <c r="S75" s="489">
        <v>71161229.680000007</v>
      </c>
      <c r="T75" s="489">
        <v>0</v>
      </c>
      <c r="U75" s="490">
        <v>1.2872582498966467</v>
      </c>
      <c r="V75" s="490">
        <v>0</v>
      </c>
      <c r="W75" s="490">
        <v>0</v>
      </c>
      <c r="X75" s="488">
        <v>125</v>
      </c>
      <c r="Y75" s="489">
        <v>71161229.680000007</v>
      </c>
      <c r="Z75" s="489">
        <v>0</v>
      </c>
      <c r="AB75" s="490">
        <v>1.2872582498966467</v>
      </c>
      <c r="AC75" s="490">
        <v>0</v>
      </c>
      <c r="AD75" s="490">
        <v>0</v>
      </c>
      <c r="AE75" s="488">
        <v>125</v>
      </c>
      <c r="AF75" s="489">
        <v>72790058.930000007</v>
      </c>
      <c r="AG75" s="489">
        <v>0</v>
      </c>
      <c r="AH75" s="490">
        <v>1.3167226633021496</v>
      </c>
      <c r="AI75" s="490">
        <v>0</v>
      </c>
      <c r="AJ75" s="490">
        <v>0</v>
      </c>
    </row>
    <row r="76" spans="2:36" ht="25.5" x14ac:dyDescent="0.25">
      <c r="B76" s="488" t="s">
        <v>268</v>
      </c>
      <c r="C76" s="488" t="s">
        <v>515</v>
      </c>
      <c r="D76" s="488" t="s">
        <v>345</v>
      </c>
      <c r="E76" s="488" t="s">
        <v>487</v>
      </c>
      <c r="F76" s="489">
        <v>55281238</v>
      </c>
      <c r="G76" s="489">
        <v>0</v>
      </c>
      <c r="H76" s="553">
        <v>56550000</v>
      </c>
      <c r="I76" s="552"/>
      <c r="J76" s="489">
        <v>111831238</v>
      </c>
      <c r="K76" s="489">
        <v>71161229.680000007</v>
      </c>
      <c r="L76" s="489">
        <v>0</v>
      </c>
      <c r="M76" s="490">
        <v>1.2872582498966467</v>
      </c>
      <c r="N76" s="490">
        <v>0</v>
      </c>
      <c r="O76" s="554">
        <v>0</v>
      </c>
      <c r="P76" s="551"/>
      <c r="Q76" s="552"/>
      <c r="R76" s="488">
        <v>125</v>
      </c>
      <c r="S76" s="489">
        <v>71161229.680000007</v>
      </c>
      <c r="T76" s="489">
        <v>0</v>
      </c>
      <c r="U76" s="490">
        <v>1.2872582498966467</v>
      </c>
      <c r="V76" s="490">
        <v>0</v>
      </c>
      <c r="W76" s="490">
        <v>0</v>
      </c>
      <c r="X76" s="488">
        <v>125</v>
      </c>
      <c r="Y76" s="489">
        <v>71161229.680000007</v>
      </c>
      <c r="Z76" s="489">
        <v>0</v>
      </c>
      <c r="AB76" s="490">
        <v>1.2872582498966467</v>
      </c>
      <c r="AC76" s="490">
        <v>0</v>
      </c>
      <c r="AD76" s="490">
        <v>0</v>
      </c>
      <c r="AE76" s="488">
        <v>125</v>
      </c>
      <c r="AF76" s="489">
        <v>72790058.930000007</v>
      </c>
      <c r="AG76" s="489">
        <v>0</v>
      </c>
      <c r="AH76" s="490">
        <v>1.3167226633021496</v>
      </c>
      <c r="AI76" s="490">
        <v>0</v>
      </c>
      <c r="AJ76" s="490">
        <v>0</v>
      </c>
    </row>
    <row r="77" spans="2:36" ht="63.75" x14ac:dyDescent="0.25">
      <c r="B77" s="488" t="s">
        <v>516</v>
      </c>
      <c r="C77" s="488" t="s">
        <v>517</v>
      </c>
      <c r="D77" s="488"/>
      <c r="E77" s="488"/>
      <c r="F77" s="489">
        <v>6631445</v>
      </c>
      <c r="G77" s="489">
        <v>0</v>
      </c>
      <c r="H77" s="553">
        <v>0</v>
      </c>
      <c r="I77" s="552"/>
      <c r="J77" s="489">
        <v>6631445</v>
      </c>
      <c r="K77" s="489">
        <v>6406845.4299999997</v>
      </c>
      <c r="L77" s="489">
        <v>0</v>
      </c>
      <c r="M77" s="490">
        <v>0.96613112677553681</v>
      </c>
      <c r="N77" s="490">
        <v>0</v>
      </c>
      <c r="O77" s="554">
        <v>0</v>
      </c>
      <c r="P77" s="551"/>
      <c r="Q77" s="552"/>
      <c r="R77" s="488">
        <v>1</v>
      </c>
      <c r="S77" s="489">
        <v>6406845.4299999997</v>
      </c>
      <c r="T77" s="489">
        <v>0</v>
      </c>
      <c r="U77" s="490">
        <v>0.96613112677553681</v>
      </c>
      <c r="V77" s="490">
        <v>0</v>
      </c>
      <c r="W77" s="490">
        <v>0</v>
      </c>
      <c r="X77" s="488">
        <v>1</v>
      </c>
      <c r="Y77" s="489">
        <v>6406845.4299999997</v>
      </c>
      <c r="Z77" s="489">
        <v>0</v>
      </c>
      <c r="AB77" s="490">
        <v>0.96613112677553681</v>
      </c>
      <c r="AC77" s="490">
        <v>0</v>
      </c>
      <c r="AD77" s="490">
        <v>0</v>
      </c>
      <c r="AE77" s="488">
        <v>1</v>
      </c>
      <c r="AF77" s="489">
        <v>6406845.4299999997</v>
      </c>
      <c r="AG77" s="489">
        <v>0</v>
      </c>
      <c r="AH77" s="490">
        <v>0.96613112677553681</v>
      </c>
      <c r="AI77" s="490">
        <v>0</v>
      </c>
      <c r="AJ77" s="490">
        <v>0</v>
      </c>
    </row>
    <row r="78" spans="2:36" ht="25.5" x14ac:dyDescent="0.25">
      <c r="B78" s="488" t="s">
        <v>269</v>
      </c>
      <c r="C78" s="488" t="s">
        <v>416</v>
      </c>
      <c r="D78" s="488" t="s">
        <v>344</v>
      </c>
      <c r="E78" s="488" t="s">
        <v>491</v>
      </c>
      <c r="F78" s="489">
        <v>6631445</v>
      </c>
      <c r="G78" s="489">
        <v>0</v>
      </c>
      <c r="H78" s="553">
        <v>0</v>
      </c>
      <c r="I78" s="552"/>
      <c r="J78" s="489">
        <v>6631445</v>
      </c>
      <c r="K78" s="489">
        <v>6406845.4299999997</v>
      </c>
      <c r="L78" s="489">
        <v>0</v>
      </c>
      <c r="M78" s="490">
        <v>0.96613112677553681</v>
      </c>
      <c r="N78" s="490">
        <v>0</v>
      </c>
      <c r="O78" s="554">
        <v>0</v>
      </c>
      <c r="P78" s="551"/>
      <c r="Q78" s="552"/>
      <c r="R78" s="488">
        <v>1</v>
      </c>
      <c r="S78" s="489">
        <v>6406845.4299999997</v>
      </c>
      <c r="T78" s="489">
        <v>0</v>
      </c>
      <c r="U78" s="490">
        <v>0.96613112677553681</v>
      </c>
      <c r="V78" s="490">
        <v>0</v>
      </c>
      <c r="W78" s="490">
        <v>0</v>
      </c>
      <c r="X78" s="488">
        <v>1</v>
      </c>
      <c r="Y78" s="489">
        <v>6406845.4299999997</v>
      </c>
      <c r="Z78" s="489">
        <v>0</v>
      </c>
      <c r="AB78" s="490">
        <v>0.96613112677553681</v>
      </c>
      <c r="AC78" s="490">
        <v>0</v>
      </c>
      <c r="AD78" s="490">
        <v>0</v>
      </c>
      <c r="AE78" s="488">
        <v>1</v>
      </c>
      <c r="AF78" s="489">
        <v>6406845.4299999997</v>
      </c>
      <c r="AG78" s="489">
        <v>0</v>
      </c>
      <c r="AH78" s="490">
        <v>0.96613112677553681</v>
      </c>
      <c r="AI78" s="490">
        <v>0</v>
      </c>
      <c r="AJ78" s="490">
        <v>0</v>
      </c>
    </row>
    <row r="79" spans="2:36" ht="51" x14ac:dyDescent="0.25">
      <c r="B79" s="488" t="s">
        <v>518</v>
      </c>
      <c r="C79" s="488" t="s">
        <v>519</v>
      </c>
      <c r="D79" s="488"/>
      <c r="E79" s="488"/>
      <c r="F79" s="489">
        <v>279905458</v>
      </c>
      <c r="G79" s="489">
        <v>0</v>
      </c>
      <c r="H79" s="553">
        <v>0</v>
      </c>
      <c r="I79" s="552"/>
      <c r="J79" s="489">
        <v>279905458</v>
      </c>
      <c r="K79" s="489">
        <v>265329414.16</v>
      </c>
      <c r="L79" s="489">
        <v>0</v>
      </c>
      <c r="M79" s="490">
        <v>0.9479251174873482</v>
      </c>
      <c r="N79" s="490">
        <v>0</v>
      </c>
      <c r="O79" s="554">
        <v>0</v>
      </c>
      <c r="P79" s="551"/>
      <c r="Q79" s="552"/>
      <c r="R79" s="488">
        <v>22</v>
      </c>
      <c r="S79" s="489">
        <v>265329414.16</v>
      </c>
      <c r="T79" s="489">
        <v>0</v>
      </c>
      <c r="U79" s="490">
        <v>0.9479251174873482</v>
      </c>
      <c r="V79" s="490">
        <v>0</v>
      </c>
      <c r="W79" s="490">
        <v>0</v>
      </c>
      <c r="X79" s="488">
        <v>22</v>
      </c>
      <c r="Y79" s="489">
        <v>265329414.16</v>
      </c>
      <c r="Z79" s="489">
        <v>0</v>
      </c>
      <c r="AB79" s="490">
        <v>0.9479251174873482</v>
      </c>
      <c r="AC79" s="490">
        <v>0</v>
      </c>
      <c r="AD79" s="490">
        <v>0</v>
      </c>
      <c r="AE79" s="488">
        <v>22</v>
      </c>
      <c r="AF79" s="489">
        <v>265350472.05000001</v>
      </c>
      <c r="AG79" s="489">
        <v>0</v>
      </c>
      <c r="AH79" s="490">
        <v>0.94800034963948432</v>
      </c>
      <c r="AI79" s="490">
        <v>0</v>
      </c>
      <c r="AJ79" s="490">
        <v>0</v>
      </c>
    </row>
    <row r="80" spans="2:36" ht="25.5" x14ac:dyDescent="0.25">
      <c r="B80" s="488" t="s">
        <v>436</v>
      </c>
      <c r="C80" s="488" t="s">
        <v>186</v>
      </c>
      <c r="D80" s="488" t="s">
        <v>345</v>
      </c>
      <c r="E80" s="488" t="s">
        <v>491</v>
      </c>
      <c r="F80" s="489">
        <v>279905458</v>
      </c>
      <c r="G80" s="489">
        <v>0</v>
      </c>
      <c r="H80" s="553">
        <v>0</v>
      </c>
      <c r="I80" s="552"/>
      <c r="J80" s="489">
        <v>279905458</v>
      </c>
      <c r="K80" s="489">
        <v>265329414.16</v>
      </c>
      <c r="L80" s="489">
        <v>0</v>
      </c>
      <c r="M80" s="490">
        <v>0.9479251174873482</v>
      </c>
      <c r="N80" s="490">
        <v>0</v>
      </c>
      <c r="O80" s="554">
        <v>0</v>
      </c>
      <c r="P80" s="551"/>
      <c r="Q80" s="552"/>
      <c r="R80" s="488">
        <v>22</v>
      </c>
      <c r="S80" s="489">
        <v>265329414.16</v>
      </c>
      <c r="T80" s="489">
        <v>0</v>
      </c>
      <c r="U80" s="490">
        <v>0.9479251174873482</v>
      </c>
      <c r="V80" s="490">
        <v>0</v>
      </c>
      <c r="W80" s="490">
        <v>0</v>
      </c>
      <c r="X80" s="488">
        <v>22</v>
      </c>
      <c r="Y80" s="489">
        <v>265329414.16</v>
      </c>
      <c r="Z80" s="489">
        <v>0</v>
      </c>
      <c r="AB80" s="490">
        <v>0.9479251174873482</v>
      </c>
      <c r="AC80" s="490">
        <v>0</v>
      </c>
      <c r="AD80" s="490">
        <v>0</v>
      </c>
      <c r="AE80" s="488">
        <v>22</v>
      </c>
      <c r="AF80" s="489">
        <v>265350472.05000001</v>
      </c>
      <c r="AG80" s="489">
        <v>0</v>
      </c>
      <c r="AH80" s="490">
        <v>0.94800034963948432</v>
      </c>
      <c r="AI80" s="490">
        <v>0</v>
      </c>
      <c r="AJ80" s="490">
        <v>0</v>
      </c>
    </row>
    <row r="81" spans="2:36" ht="25.5" x14ac:dyDescent="0.25">
      <c r="B81" s="488" t="s">
        <v>270</v>
      </c>
      <c r="C81" s="488" t="s">
        <v>185</v>
      </c>
      <c r="D81" s="488" t="s">
        <v>345</v>
      </c>
      <c r="E81" s="488" t="s">
        <v>491</v>
      </c>
      <c r="F81" s="489">
        <v>235002439</v>
      </c>
      <c r="G81" s="489">
        <v>0</v>
      </c>
      <c r="H81" s="553">
        <v>0</v>
      </c>
      <c r="I81" s="552"/>
      <c r="J81" s="489">
        <v>235002439</v>
      </c>
      <c r="K81" s="489">
        <v>225437164.83000001</v>
      </c>
      <c r="L81" s="489">
        <v>0</v>
      </c>
      <c r="M81" s="490">
        <v>0.9592971281034236</v>
      </c>
      <c r="N81" s="490">
        <v>0</v>
      </c>
      <c r="O81" s="554">
        <v>0</v>
      </c>
      <c r="P81" s="551"/>
      <c r="Q81" s="552"/>
      <c r="R81" s="488">
        <v>8</v>
      </c>
      <c r="S81" s="489">
        <v>225437164.83000001</v>
      </c>
      <c r="T81" s="489">
        <v>0</v>
      </c>
      <c r="U81" s="490">
        <v>0.9592971281034236</v>
      </c>
      <c r="V81" s="490">
        <v>0</v>
      </c>
      <c r="W81" s="490">
        <v>0</v>
      </c>
      <c r="X81" s="488">
        <v>8</v>
      </c>
      <c r="Y81" s="489">
        <v>225437164.83000001</v>
      </c>
      <c r="Z81" s="489">
        <v>0</v>
      </c>
      <c r="AB81" s="490">
        <v>0.9592971281034236</v>
      </c>
      <c r="AC81" s="490">
        <v>0</v>
      </c>
      <c r="AD81" s="490">
        <v>0</v>
      </c>
      <c r="AE81" s="488">
        <v>8</v>
      </c>
      <c r="AF81" s="489">
        <v>225458222.72</v>
      </c>
      <c r="AG81" s="489">
        <v>0</v>
      </c>
      <c r="AH81" s="490">
        <v>0.9593867352159694</v>
      </c>
      <c r="AI81" s="490">
        <v>0</v>
      </c>
      <c r="AJ81" s="490">
        <v>0</v>
      </c>
    </row>
    <row r="82" spans="2:36" ht="25.5" x14ac:dyDescent="0.25">
      <c r="B82" s="488" t="s">
        <v>271</v>
      </c>
      <c r="C82" s="488" t="s">
        <v>186</v>
      </c>
      <c r="D82" s="488" t="s">
        <v>345</v>
      </c>
      <c r="E82" s="488" t="s">
        <v>491</v>
      </c>
      <c r="F82" s="489">
        <v>44903019</v>
      </c>
      <c r="G82" s="489">
        <v>0</v>
      </c>
      <c r="H82" s="553">
        <v>0</v>
      </c>
      <c r="I82" s="552"/>
      <c r="J82" s="489">
        <v>44903019</v>
      </c>
      <c r="K82" s="489">
        <v>39892249.329999998</v>
      </c>
      <c r="L82" s="489">
        <v>0</v>
      </c>
      <c r="M82" s="490">
        <v>0.88840906955498922</v>
      </c>
      <c r="N82" s="490">
        <v>0</v>
      </c>
      <c r="O82" s="554">
        <v>0</v>
      </c>
      <c r="P82" s="551"/>
      <c r="Q82" s="552"/>
      <c r="R82" s="488">
        <v>14</v>
      </c>
      <c r="S82" s="489">
        <v>39892249.329999998</v>
      </c>
      <c r="T82" s="489">
        <v>0</v>
      </c>
      <c r="U82" s="490">
        <v>0.88840906955498922</v>
      </c>
      <c r="V82" s="490">
        <v>0</v>
      </c>
      <c r="W82" s="490">
        <v>0</v>
      </c>
      <c r="X82" s="488">
        <v>14</v>
      </c>
      <c r="Y82" s="489">
        <v>39892249.329999998</v>
      </c>
      <c r="Z82" s="489">
        <v>0</v>
      </c>
      <c r="AB82" s="490">
        <v>0.88840906955498922</v>
      </c>
      <c r="AC82" s="490">
        <v>0</v>
      </c>
      <c r="AD82" s="490">
        <v>0</v>
      </c>
      <c r="AE82" s="488">
        <v>14</v>
      </c>
      <c r="AF82" s="489">
        <v>39892249.329999998</v>
      </c>
      <c r="AG82" s="489">
        <v>0</v>
      </c>
      <c r="AH82" s="490">
        <v>0.88840906955498922</v>
      </c>
      <c r="AI82" s="490">
        <v>0</v>
      </c>
      <c r="AJ82" s="490">
        <v>0</v>
      </c>
    </row>
    <row r="83" spans="2:36" ht="25.5" x14ac:dyDescent="0.25">
      <c r="B83" s="485" t="s">
        <v>272</v>
      </c>
      <c r="C83" s="485" t="s">
        <v>367</v>
      </c>
      <c r="D83" s="485"/>
      <c r="E83" s="485"/>
      <c r="F83" s="486">
        <v>606615694</v>
      </c>
      <c r="G83" s="486">
        <v>24165500</v>
      </c>
      <c r="H83" s="555">
        <v>78662967</v>
      </c>
      <c r="I83" s="552"/>
      <c r="J83" s="486">
        <v>685278661</v>
      </c>
      <c r="K83" s="486">
        <v>637328652.08000004</v>
      </c>
      <c r="L83" s="486">
        <v>14698287.470000001</v>
      </c>
      <c r="M83" s="487">
        <v>1.0506300090547938</v>
      </c>
      <c r="N83" s="487">
        <v>0</v>
      </c>
      <c r="O83" s="550">
        <v>0</v>
      </c>
      <c r="P83" s="551"/>
      <c r="Q83" s="552"/>
      <c r="R83" s="485">
        <v>287</v>
      </c>
      <c r="S83" s="486">
        <v>637328652.08000004</v>
      </c>
      <c r="T83" s="486">
        <v>14698287.470000001</v>
      </c>
      <c r="U83" s="487">
        <v>1.0506300090547938</v>
      </c>
      <c r="V83" s="487">
        <v>0</v>
      </c>
      <c r="W83" s="487">
        <v>0</v>
      </c>
      <c r="X83" s="485">
        <v>287</v>
      </c>
      <c r="Y83" s="486">
        <v>637328652.08000004</v>
      </c>
      <c r="Z83" s="486">
        <v>14698287.470000001</v>
      </c>
      <c r="AB83" s="487">
        <v>1.0506300090547938</v>
      </c>
      <c r="AC83" s="487">
        <v>0</v>
      </c>
      <c r="AD83" s="487">
        <v>0</v>
      </c>
      <c r="AE83" s="485">
        <v>287</v>
      </c>
      <c r="AF83" s="486">
        <v>633238198.45000005</v>
      </c>
      <c r="AG83" s="486">
        <v>14647502.24</v>
      </c>
      <c r="AH83" s="487">
        <v>1.0438869365123944</v>
      </c>
      <c r="AI83" s="487">
        <v>0</v>
      </c>
      <c r="AJ83" s="487">
        <v>0</v>
      </c>
    </row>
    <row r="84" spans="2:36" x14ac:dyDescent="0.25">
      <c r="B84" s="485"/>
      <c r="C84" s="485"/>
      <c r="D84" s="485"/>
      <c r="E84" s="485"/>
      <c r="F84" s="486"/>
      <c r="G84" s="486"/>
      <c r="H84" s="486"/>
      <c r="I84" s="482"/>
      <c r="J84" s="486"/>
      <c r="K84" s="486"/>
      <c r="L84" s="486"/>
      <c r="M84" s="487"/>
      <c r="N84" s="487"/>
      <c r="O84" s="487"/>
      <c r="P84" s="484"/>
      <c r="Q84" s="482"/>
      <c r="R84" s="485"/>
      <c r="S84" s="486"/>
      <c r="T84" s="486"/>
      <c r="U84" s="487"/>
      <c r="V84" s="487"/>
      <c r="W84" s="487"/>
      <c r="X84" s="485"/>
      <c r="Y84" s="486"/>
      <c r="Z84" s="486"/>
      <c r="AB84" s="487"/>
      <c r="AC84" s="487"/>
      <c r="AD84" s="487"/>
      <c r="AE84" s="485"/>
      <c r="AF84" s="486"/>
      <c r="AG84" s="486"/>
      <c r="AH84" s="487"/>
      <c r="AI84" s="487"/>
      <c r="AJ84" s="487"/>
    </row>
    <row r="85" spans="2:36" ht="63.75" x14ac:dyDescent="0.25">
      <c r="B85" s="488" t="s">
        <v>273</v>
      </c>
      <c r="C85" s="488" t="s">
        <v>520</v>
      </c>
      <c r="D85" s="488"/>
      <c r="E85" s="488" t="s">
        <v>1607</v>
      </c>
      <c r="F85" s="489">
        <v>0</v>
      </c>
      <c r="G85" s="489">
        <v>0</v>
      </c>
      <c r="H85" s="553">
        <v>24299268</v>
      </c>
      <c r="I85" s="552"/>
      <c r="J85" s="489">
        <v>24299268</v>
      </c>
      <c r="K85" s="489">
        <v>22886986.370000001</v>
      </c>
      <c r="L85" s="489">
        <v>0</v>
      </c>
      <c r="M85" s="490">
        <v>0</v>
      </c>
      <c r="N85" s="490">
        <v>0</v>
      </c>
      <c r="O85" s="554">
        <v>0</v>
      </c>
      <c r="P85" s="551"/>
      <c r="Q85" s="552"/>
      <c r="R85" s="488">
        <v>10</v>
      </c>
      <c r="S85" s="489">
        <v>22886986.370000001</v>
      </c>
      <c r="T85" s="489">
        <v>0</v>
      </c>
      <c r="U85" s="490">
        <v>0</v>
      </c>
      <c r="V85" s="490">
        <v>0</v>
      </c>
      <c r="W85" s="490">
        <v>0</v>
      </c>
      <c r="X85" s="488">
        <v>10</v>
      </c>
      <c r="Y85" s="489">
        <v>22886986.370000001</v>
      </c>
      <c r="Z85" s="489">
        <v>0</v>
      </c>
      <c r="AB85" s="490">
        <v>0</v>
      </c>
      <c r="AC85" s="490">
        <v>0</v>
      </c>
      <c r="AD85" s="490">
        <v>0</v>
      </c>
      <c r="AE85" s="488">
        <v>10</v>
      </c>
      <c r="AF85" s="489">
        <v>22876285.149999999</v>
      </c>
      <c r="AG85" s="489">
        <v>0</v>
      </c>
      <c r="AH85" s="490">
        <v>0</v>
      </c>
      <c r="AI85" s="490">
        <v>0</v>
      </c>
      <c r="AJ85" s="490">
        <v>0</v>
      </c>
    </row>
    <row r="86" spans="2:36" ht="25.5" x14ac:dyDescent="0.25">
      <c r="B86" s="488" t="s">
        <v>274</v>
      </c>
      <c r="C86" s="488" t="s">
        <v>60</v>
      </c>
      <c r="D86" s="488"/>
      <c r="E86" s="488" t="s">
        <v>521</v>
      </c>
      <c r="F86" s="489">
        <v>0</v>
      </c>
      <c r="G86" s="489">
        <v>0</v>
      </c>
      <c r="H86" s="553">
        <v>36881516</v>
      </c>
      <c r="I86" s="552"/>
      <c r="J86" s="489">
        <v>36881516</v>
      </c>
      <c r="K86" s="489">
        <v>36460624.560000002</v>
      </c>
      <c r="L86" s="489">
        <v>0</v>
      </c>
      <c r="M86" s="490">
        <v>0</v>
      </c>
      <c r="N86" s="490">
        <v>0</v>
      </c>
      <c r="O86" s="554">
        <v>0</v>
      </c>
      <c r="P86" s="551"/>
      <c r="Q86" s="552"/>
      <c r="R86" s="488">
        <v>32</v>
      </c>
      <c r="S86" s="489">
        <v>36460624.560000002</v>
      </c>
      <c r="T86" s="489">
        <v>0</v>
      </c>
      <c r="U86" s="490">
        <v>0</v>
      </c>
      <c r="V86" s="490">
        <v>0</v>
      </c>
      <c r="W86" s="490">
        <v>0</v>
      </c>
      <c r="X86" s="488">
        <v>32</v>
      </c>
      <c r="Y86" s="489">
        <v>36460624.560000002</v>
      </c>
      <c r="Z86" s="489">
        <v>0</v>
      </c>
      <c r="AB86" s="490">
        <v>0</v>
      </c>
      <c r="AC86" s="490">
        <v>0</v>
      </c>
      <c r="AD86" s="490">
        <v>0</v>
      </c>
      <c r="AE86" s="488">
        <v>32</v>
      </c>
      <c r="AF86" s="489">
        <v>36460624.530000001</v>
      </c>
      <c r="AG86" s="489">
        <v>0</v>
      </c>
      <c r="AH86" s="490">
        <v>0</v>
      </c>
      <c r="AI86" s="490">
        <v>0</v>
      </c>
      <c r="AJ86" s="490">
        <v>0</v>
      </c>
    </row>
    <row r="87" spans="2:36" ht="76.5" x14ac:dyDescent="0.25">
      <c r="B87" s="488" t="s">
        <v>522</v>
      </c>
      <c r="C87" s="488" t="s">
        <v>523</v>
      </c>
      <c r="D87" s="488"/>
      <c r="E87" s="488"/>
      <c r="F87" s="489">
        <v>55771320</v>
      </c>
      <c r="G87" s="489">
        <v>0</v>
      </c>
      <c r="H87" s="553">
        <v>17482183</v>
      </c>
      <c r="I87" s="552"/>
      <c r="J87" s="489">
        <v>73253503</v>
      </c>
      <c r="K87" s="489">
        <v>71898764.629999995</v>
      </c>
      <c r="L87" s="489">
        <v>0</v>
      </c>
      <c r="M87" s="490">
        <v>1.2891709328378815</v>
      </c>
      <c r="N87" s="490">
        <v>0</v>
      </c>
      <c r="O87" s="554">
        <v>0</v>
      </c>
      <c r="P87" s="551"/>
      <c r="Q87" s="552"/>
      <c r="R87" s="488">
        <v>17</v>
      </c>
      <c r="S87" s="489">
        <v>71898764.629999995</v>
      </c>
      <c r="T87" s="489">
        <v>0</v>
      </c>
      <c r="U87" s="490">
        <v>1.2891709328378815</v>
      </c>
      <c r="V87" s="490">
        <v>0</v>
      </c>
      <c r="W87" s="490">
        <v>0</v>
      </c>
      <c r="X87" s="488">
        <v>17</v>
      </c>
      <c r="Y87" s="489">
        <v>71898764.629999995</v>
      </c>
      <c r="Z87" s="489">
        <v>0</v>
      </c>
      <c r="AB87" s="490">
        <v>1.2891709328378815</v>
      </c>
      <c r="AC87" s="490">
        <v>0</v>
      </c>
      <c r="AD87" s="490">
        <v>0</v>
      </c>
      <c r="AE87" s="488">
        <v>17</v>
      </c>
      <c r="AF87" s="489">
        <v>71898764.629999995</v>
      </c>
      <c r="AG87" s="489">
        <v>0</v>
      </c>
      <c r="AH87" s="490">
        <v>1.2891709328378815</v>
      </c>
      <c r="AI87" s="490">
        <v>0</v>
      </c>
      <c r="AJ87" s="490">
        <v>0</v>
      </c>
    </row>
    <row r="88" spans="2:36" ht="63.75" x14ac:dyDescent="0.25">
      <c r="B88" s="488" t="s">
        <v>437</v>
      </c>
      <c r="C88" s="488" t="s">
        <v>524</v>
      </c>
      <c r="D88" s="488" t="s">
        <v>345</v>
      </c>
      <c r="E88" s="488" t="s">
        <v>1607</v>
      </c>
      <c r="F88" s="489">
        <v>55771320</v>
      </c>
      <c r="G88" s="489">
        <v>0</v>
      </c>
      <c r="H88" s="553">
        <v>17482183</v>
      </c>
      <c r="I88" s="552"/>
      <c r="J88" s="489">
        <v>73253503</v>
      </c>
      <c r="K88" s="489">
        <v>71898764.629999995</v>
      </c>
      <c r="L88" s="489">
        <v>0</v>
      </c>
      <c r="M88" s="490">
        <v>1.2891709328378815</v>
      </c>
      <c r="N88" s="490">
        <v>0</v>
      </c>
      <c r="O88" s="554">
        <v>0</v>
      </c>
      <c r="P88" s="551"/>
      <c r="Q88" s="552"/>
      <c r="R88" s="488">
        <v>17</v>
      </c>
      <c r="S88" s="489">
        <v>71898764.629999995</v>
      </c>
      <c r="T88" s="489">
        <v>0</v>
      </c>
      <c r="U88" s="490">
        <v>1.2891709328378815</v>
      </c>
      <c r="V88" s="490">
        <v>0</v>
      </c>
      <c r="W88" s="490">
        <v>0</v>
      </c>
      <c r="X88" s="488">
        <v>17</v>
      </c>
      <c r="Y88" s="489">
        <v>71898764.629999995</v>
      </c>
      <c r="Z88" s="489">
        <v>0</v>
      </c>
      <c r="AB88" s="490">
        <v>1.2891709328378815</v>
      </c>
      <c r="AC88" s="490">
        <v>0</v>
      </c>
      <c r="AD88" s="490">
        <v>0</v>
      </c>
      <c r="AE88" s="488">
        <v>17</v>
      </c>
      <c r="AF88" s="489">
        <v>71898764.629999995</v>
      </c>
      <c r="AG88" s="489">
        <v>0</v>
      </c>
      <c r="AH88" s="490">
        <v>1.2891709328378815</v>
      </c>
      <c r="AI88" s="490">
        <v>0</v>
      </c>
      <c r="AJ88" s="490">
        <v>0</v>
      </c>
    </row>
    <row r="89" spans="2:36" ht="63.75" x14ac:dyDescent="0.25">
      <c r="B89" s="488" t="s">
        <v>275</v>
      </c>
      <c r="C89" s="488" t="s">
        <v>187</v>
      </c>
      <c r="D89" s="488" t="s">
        <v>345</v>
      </c>
      <c r="E89" s="488" t="s">
        <v>1607</v>
      </c>
      <c r="F89" s="489">
        <v>151400</v>
      </c>
      <c r="G89" s="489">
        <v>0</v>
      </c>
      <c r="H89" s="553">
        <v>0</v>
      </c>
      <c r="I89" s="552"/>
      <c r="J89" s="489">
        <v>151400</v>
      </c>
      <c r="K89" s="489">
        <v>151399.01999999999</v>
      </c>
      <c r="L89" s="489">
        <v>0</v>
      </c>
      <c r="M89" s="490">
        <v>0.9999935270805812</v>
      </c>
      <c r="N89" s="490">
        <v>0</v>
      </c>
      <c r="O89" s="554">
        <v>0</v>
      </c>
      <c r="P89" s="551"/>
      <c r="Q89" s="552"/>
      <c r="R89" s="488">
        <v>4</v>
      </c>
      <c r="S89" s="489">
        <v>151399.01999999999</v>
      </c>
      <c r="T89" s="489">
        <v>0</v>
      </c>
      <c r="U89" s="490">
        <v>0.9999935270805812</v>
      </c>
      <c r="V89" s="490">
        <v>0</v>
      </c>
      <c r="W89" s="490">
        <v>0</v>
      </c>
      <c r="X89" s="488">
        <v>4</v>
      </c>
      <c r="Y89" s="489">
        <v>151399.01999999999</v>
      </c>
      <c r="Z89" s="489">
        <v>0</v>
      </c>
      <c r="AB89" s="490">
        <v>0.9999935270805812</v>
      </c>
      <c r="AC89" s="490">
        <v>0</v>
      </c>
      <c r="AD89" s="490">
        <v>0</v>
      </c>
      <c r="AE89" s="488">
        <v>4</v>
      </c>
      <c r="AF89" s="489">
        <v>151399.01999999999</v>
      </c>
      <c r="AG89" s="489">
        <v>0</v>
      </c>
      <c r="AH89" s="490">
        <v>0.9999935270805812</v>
      </c>
      <c r="AI89" s="490">
        <v>0</v>
      </c>
      <c r="AJ89" s="490">
        <v>0</v>
      </c>
    </row>
    <row r="90" spans="2:36" ht="63.75" x14ac:dyDescent="0.25">
      <c r="B90" s="488" t="s">
        <v>276</v>
      </c>
      <c r="C90" s="488" t="s">
        <v>611</v>
      </c>
      <c r="D90" s="488" t="s">
        <v>345</v>
      </c>
      <c r="E90" s="488" t="s">
        <v>1607</v>
      </c>
      <c r="F90" s="489">
        <v>46435671</v>
      </c>
      <c r="G90" s="489">
        <v>0</v>
      </c>
      <c r="H90" s="553">
        <v>17482183</v>
      </c>
      <c r="I90" s="552"/>
      <c r="J90" s="489">
        <v>63917854</v>
      </c>
      <c r="K90" s="489">
        <v>62563116.609999999</v>
      </c>
      <c r="L90" s="489">
        <v>0</v>
      </c>
      <c r="M90" s="490">
        <v>1.3473072588958606</v>
      </c>
      <c r="N90" s="490">
        <v>0</v>
      </c>
      <c r="O90" s="554">
        <v>0</v>
      </c>
      <c r="P90" s="551"/>
      <c r="Q90" s="552"/>
      <c r="R90" s="488">
        <v>12</v>
      </c>
      <c r="S90" s="489">
        <v>62563116.609999999</v>
      </c>
      <c r="T90" s="489">
        <v>0</v>
      </c>
      <c r="U90" s="490">
        <v>1.3473072588958606</v>
      </c>
      <c r="V90" s="490">
        <v>0</v>
      </c>
      <c r="W90" s="490">
        <v>0</v>
      </c>
      <c r="X90" s="488">
        <v>12</v>
      </c>
      <c r="Y90" s="489">
        <v>62563116.609999999</v>
      </c>
      <c r="Z90" s="489">
        <v>0</v>
      </c>
      <c r="AB90" s="490">
        <v>1.3473072588958606</v>
      </c>
      <c r="AC90" s="490">
        <v>0</v>
      </c>
      <c r="AD90" s="490">
        <v>0</v>
      </c>
      <c r="AE90" s="488">
        <v>12</v>
      </c>
      <c r="AF90" s="489">
        <v>62563116.609999999</v>
      </c>
      <c r="AG90" s="489">
        <v>0</v>
      </c>
      <c r="AH90" s="490">
        <v>1.3473072588958606</v>
      </c>
      <c r="AI90" s="490">
        <v>0</v>
      </c>
      <c r="AJ90" s="490">
        <v>0</v>
      </c>
    </row>
    <row r="91" spans="2:36" ht="63.75" x14ac:dyDescent="0.25">
      <c r="B91" s="488" t="s">
        <v>405</v>
      </c>
      <c r="C91" s="488" t="s">
        <v>403</v>
      </c>
      <c r="D91" s="488" t="s">
        <v>345</v>
      </c>
      <c r="E91" s="488" t="s">
        <v>1607</v>
      </c>
      <c r="F91" s="489">
        <v>9184249</v>
      </c>
      <c r="G91" s="489">
        <v>0</v>
      </c>
      <c r="H91" s="553">
        <v>0</v>
      </c>
      <c r="I91" s="552"/>
      <c r="J91" s="489">
        <v>9184249</v>
      </c>
      <c r="K91" s="489">
        <v>9184249</v>
      </c>
      <c r="L91" s="489">
        <v>0</v>
      </c>
      <c r="M91" s="490">
        <v>1</v>
      </c>
      <c r="N91" s="490">
        <v>0</v>
      </c>
      <c r="O91" s="554">
        <v>0</v>
      </c>
      <c r="P91" s="551"/>
      <c r="Q91" s="552"/>
      <c r="R91" s="488">
        <v>1</v>
      </c>
      <c r="S91" s="489">
        <v>9184249</v>
      </c>
      <c r="T91" s="489">
        <v>0</v>
      </c>
      <c r="U91" s="490">
        <v>1</v>
      </c>
      <c r="V91" s="490">
        <v>0</v>
      </c>
      <c r="W91" s="490">
        <v>0</v>
      </c>
      <c r="X91" s="488">
        <v>1</v>
      </c>
      <c r="Y91" s="489">
        <v>9184249</v>
      </c>
      <c r="Z91" s="489">
        <v>0</v>
      </c>
      <c r="AB91" s="490">
        <v>1</v>
      </c>
      <c r="AC91" s="490">
        <v>0</v>
      </c>
      <c r="AD91" s="490">
        <v>0</v>
      </c>
      <c r="AE91" s="488">
        <v>1</v>
      </c>
      <c r="AF91" s="489">
        <v>9184249</v>
      </c>
      <c r="AG91" s="489">
        <v>0</v>
      </c>
      <c r="AH91" s="490">
        <v>1</v>
      </c>
      <c r="AI91" s="490">
        <v>0</v>
      </c>
      <c r="AJ91" s="490">
        <v>0</v>
      </c>
    </row>
    <row r="92" spans="2:36" ht="51" x14ac:dyDescent="0.25">
      <c r="B92" s="488" t="s">
        <v>525</v>
      </c>
      <c r="C92" s="488" t="s">
        <v>526</v>
      </c>
      <c r="D92" s="488"/>
      <c r="E92" s="488"/>
      <c r="F92" s="489">
        <v>102562507</v>
      </c>
      <c r="G92" s="489">
        <v>0</v>
      </c>
      <c r="H92" s="553">
        <v>0</v>
      </c>
      <c r="I92" s="552"/>
      <c r="J92" s="489">
        <v>102562507</v>
      </c>
      <c r="K92" s="489">
        <v>101505926.48999999</v>
      </c>
      <c r="L92" s="489">
        <v>0</v>
      </c>
      <c r="M92" s="490">
        <v>0.98969817976465801</v>
      </c>
      <c r="N92" s="490">
        <v>0</v>
      </c>
      <c r="O92" s="554">
        <v>0</v>
      </c>
      <c r="P92" s="551"/>
      <c r="Q92" s="552"/>
      <c r="R92" s="488">
        <v>47</v>
      </c>
      <c r="S92" s="489">
        <v>101505926.48999999</v>
      </c>
      <c r="T92" s="489">
        <v>0</v>
      </c>
      <c r="U92" s="490">
        <v>0.98969817976465801</v>
      </c>
      <c r="V92" s="490">
        <v>0</v>
      </c>
      <c r="W92" s="490">
        <v>0</v>
      </c>
      <c r="X92" s="488">
        <v>47</v>
      </c>
      <c r="Y92" s="489">
        <v>101505926.48999999</v>
      </c>
      <c r="Z92" s="489">
        <v>0</v>
      </c>
      <c r="AB92" s="490">
        <v>0.98969817976465801</v>
      </c>
      <c r="AC92" s="490">
        <v>0</v>
      </c>
      <c r="AD92" s="490">
        <v>0</v>
      </c>
      <c r="AE92" s="488">
        <v>47</v>
      </c>
      <c r="AF92" s="489">
        <v>101207903.51000001</v>
      </c>
      <c r="AG92" s="489">
        <v>0</v>
      </c>
      <c r="AH92" s="490">
        <v>0.98679241050533217</v>
      </c>
      <c r="AI92" s="490">
        <v>0</v>
      </c>
      <c r="AJ92" s="490">
        <v>0</v>
      </c>
    </row>
    <row r="93" spans="2:36" ht="63.75" x14ac:dyDescent="0.25">
      <c r="B93" s="488" t="s">
        <v>277</v>
      </c>
      <c r="C93" s="488" t="s">
        <v>527</v>
      </c>
      <c r="D93" s="488" t="s">
        <v>345</v>
      </c>
      <c r="E93" s="488" t="s">
        <v>1607</v>
      </c>
      <c r="F93" s="489">
        <v>102562507</v>
      </c>
      <c r="G93" s="489">
        <v>0</v>
      </c>
      <c r="H93" s="553">
        <v>0</v>
      </c>
      <c r="I93" s="552"/>
      <c r="J93" s="489">
        <v>102562507</v>
      </c>
      <c r="K93" s="489">
        <v>101505926.48999999</v>
      </c>
      <c r="L93" s="489">
        <v>0</v>
      </c>
      <c r="M93" s="490">
        <v>0.98969817976465801</v>
      </c>
      <c r="N93" s="490">
        <v>0</v>
      </c>
      <c r="O93" s="554">
        <v>0</v>
      </c>
      <c r="P93" s="551"/>
      <c r="Q93" s="552"/>
      <c r="R93" s="488">
        <v>47</v>
      </c>
      <c r="S93" s="489">
        <v>101505926.48999999</v>
      </c>
      <c r="T93" s="489">
        <v>0</v>
      </c>
      <c r="U93" s="490">
        <v>0.98969817976465801</v>
      </c>
      <c r="V93" s="490">
        <v>0</v>
      </c>
      <c r="W93" s="490">
        <v>0</v>
      </c>
      <c r="X93" s="488">
        <v>47</v>
      </c>
      <c r="Y93" s="489">
        <v>101505926.48999999</v>
      </c>
      <c r="Z93" s="489">
        <v>0</v>
      </c>
      <c r="AB93" s="490">
        <v>0.98969817976465801</v>
      </c>
      <c r="AC93" s="490">
        <v>0</v>
      </c>
      <c r="AD93" s="490">
        <v>0</v>
      </c>
      <c r="AE93" s="488">
        <v>47</v>
      </c>
      <c r="AF93" s="489">
        <v>101207903.51000001</v>
      </c>
      <c r="AG93" s="489">
        <v>0</v>
      </c>
      <c r="AH93" s="490">
        <v>0.98679241050533217</v>
      </c>
      <c r="AI93" s="490">
        <v>0</v>
      </c>
      <c r="AJ93" s="490">
        <v>0</v>
      </c>
    </row>
    <row r="94" spans="2:36" ht="38.25" x14ac:dyDescent="0.25">
      <c r="B94" s="488" t="s">
        <v>528</v>
      </c>
      <c r="C94" s="488" t="s">
        <v>529</v>
      </c>
      <c r="D94" s="488"/>
      <c r="E94" s="488"/>
      <c r="F94" s="489">
        <v>35602659</v>
      </c>
      <c r="G94" s="489">
        <v>0</v>
      </c>
      <c r="H94" s="553">
        <v>0</v>
      </c>
      <c r="I94" s="552"/>
      <c r="J94" s="489">
        <v>35602659</v>
      </c>
      <c r="K94" s="489">
        <v>34973053.939999998</v>
      </c>
      <c r="L94" s="489">
        <v>0</v>
      </c>
      <c r="M94" s="490">
        <v>0.98231578545860854</v>
      </c>
      <c r="N94" s="490">
        <v>0</v>
      </c>
      <c r="O94" s="554">
        <v>0</v>
      </c>
      <c r="P94" s="551"/>
      <c r="Q94" s="552"/>
      <c r="R94" s="488">
        <v>25</v>
      </c>
      <c r="S94" s="489">
        <v>34973053.939999998</v>
      </c>
      <c r="T94" s="489">
        <v>0</v>
      </c>
      <c r="U94" s="490">
        <v>0.98231578545860854</v>
      </c>
      <c r="V94" s="490">
        <v>0</v>
      </c>
      <c r="W94" s="490">
        <v>0</v>
      </c>
      <c r="X94" s="488">
        <v>25</v>
      </c>
      <c r="Y94" s="489">
        <v>34973053.939999998</v>
      </c>
      <c r="Z94" s="489">
        <v>0</v>
      </c>
      <c r="AB94" s="490">
        <v>0.98231578545860854</v>
      </c>
      <c r="AC94" s="490">
        <v>0</v>
      </c>
      <c r="AD94" s="490">
        <v>0</v>
      </c>
      <c r="AE94" s="488">
        <v>25</v>
      </c>
      <c r="AF94" s="489">
        <v>34973053.939999998</v>
      </c>
      <c r="AG94" s="489">
        <v>0</v>
      </c>
      <c r="AH94" s="490">
        <v>0.98231578545860854</v>
      </c>
      <c r="AI94" s="490">
        <v>0</v>
      </c>
      <c r="AJ94" s="490">
        <v>0</v>
      </c>
    </row>
    <row r="95" spans="2:36" ht="63.75" x14ac:dyDescent="0.25">
      <c r="B95" s="488" t="s">
        <v>438</v>
      </c>
      <c r="C95" s="488" t="s">
        <v>530</v>
      </c>
      <c r="D95" s="488" t="s">
        <v>344</v>
      </c>
      <c r="E95" s="488" t="s">
        <v>1607</v>
      </c>
      <c r="F95" s="489">
        <v>3072721</v>
      </c>
      <c r="G95" s="489">
        <v>0</v>
      </c>
      <c r="H95" s="553">
        <v>0</v>
      </c>
      <c r="I95" s="552"/>
      <c r="J95" s="489">
        <v>3072721</v>
      </c>
      <c r="K95" s="489">
        <v>3072720.94</v>
      </c>
      <c r="L95" s="489">
        <v>0</v>
      </c>
      <c r="M95" s="490">
        <v>0.99999998047333294</v>
      </c>
      <c r="N95" s="490">
        <v>0</v>
      </c>
      <c r="O95" s="554">
        <v>0</v>
      </c>
      <c r="P95" s="551"/>
      <c r="Q95" s="552"/>
      <c r="R95" s="488">
        <v>13</v>
      </c>
      <c r="S95" s="489">
        <v>3072720.94</v>
      </c>
      <c r="T95" s="489">
        <v>0</v>
      </c>
      <c r="U95" s="490">
        <v>0.99999998047333294</v>
      </c>
      <c r="V95" s="490">
        <v>0</v>
      </c>
      <c r="W95" s="490">
        <v>0</v>
      </c>
      <c r="X95" s="488">
        <v>13</v>
      </c>
      <c r="Y95" s="489">
        <v>3072720.94</v>
      </c>
      <c r="Z95" s="489">
        <v>0</v>
      </c>
      <c r="AB95" s="490">
        <v>0.99999998047333294</v>
      </c>
      <c r="AC95" s="490">
        <v>0</v>
      </c>
      <c r="AD95" s="490">
        <v>0</v>
      </c>
      <c r="AE95" s="488">
        <v>13</v>
      </c>
      <c r="AF95" s="489">
        <v>3072720.94</v>
      </c>
      <c r="AG95" s="489">
        <v>0</v>
      </c>
      <c r="AH95" s="490">
        <v>0.99999998047333294</v>
      </c>
      <c r="AI95" s="490">
        <v>0</v>
      </c>
      <c r="AJ95" s="490">
        <v>0</v>
      </c>
    </row>
    <row r="96" spans="2:36" ht="63.75" x14ac:dyDescent="0.25">
      <c r="B96" s="488" t="s">
        <v>278</v>
      </c>
      <c r="C96" s="488" t="s">
        <v>188</v>
      </c>
      <c r="D96" s="488" t="s">
        <v>344</v>
      </c>
      <c r="E96" s="488" t="s">
        <v>1607</v>
      </c>
      <c r="F96" s="489">
        <v>3072721</v>
      </c>
      <c r="G96" s="489">
        <v>0</v>
      </c>
      <c r="H96" s="553">
        <v>0</v>
      </c>
      <c r="I96" s="552"/>
      <c r="J96" s="489">
        <v>3072721</v>
      </c>
      <c r="K96" s="489">
        <v>3072720.94</v>
      </c>
      <c r="L96" s="489">
        <v>0</v>
      </c>
      <c r="M96" s="490">
        <v>0.99999998047333294</v>
      </c>
      <c r="N96" s="490">
        <v>0</v>
      </c>
      <c r="O96" s="554">
        <v>0</v>
      </c>
      <c r="P96" s="551"/>
      <c r="Q96" s="552"/>
      <c r="R96" s="488">
        <v>13</v>
      </c>
      <c r="S96" s="489">
        <v>3072720.94</v>
      </c>
      <c r="T96" s="489">
        <v>0</v>
      </c>
      <c r="U96" s="490">
        <v>0.99999998047333294</v>
      </c>
      <c r="V96" s="490">
        <v>0</v>
      </c>
      <c r="W96" s="490">
        <v>0</v>
      </c>
      <c r="X96" s="488">
        <v>13</v>
      </c>
      <c r="Y96" s="489">
        <v>3072720.94</v>
      </c>
      <c r="Z96" s="489">
        <v>0</v>
      </c>
      <c r="AB96" s="490">
        <v>0.99999998047333294</v>
      </c>
      <c r="AC96" s="490">
        <v>0</v>
      </c>
      <c r="AD96" s="490">
        <v>0</v>
      </c>
      <c r="AE96" s="488">
        <v>13</v>
      </c>
      <c r="AF96" s="489">
        <v>3072720.94</v>
      </c>
      <c r="AG96" s="489">
        <v>0</v>
      </c>
      <c r="AH96" s="490">
        <v>0.99999998047333294</v>
      </c>
      <c r="AI96" s="490">
        <v>0</v>
      </c>
      <c r="AJ96" s="490">
        <v>0</v>
      </c>
    </row>
    <row r="97" spans="2:36" ht="63.75" x14ac:dyDescent="0.25">
      <c r="B97" s="488" t="s">
        <v>439</v>
      </c>
      <c r="C97" s="488" t="s">
        <v>191</v>
      </c>
      <c r="D97" s="488" t="s">
        <v>345</v>
      </c>
      <c r="E97" s="488" t="s">
        <v>1607</v>
      </c>
      <c r="F97" s="489">
        <v>26224830</v>
      </c>
      <c r="G97" s="489">
        <v>0</v>
      </c>
      <c r="H97" s="553">
        <v>0</v>
      </c>
      <c r="I97" s="552"/>
      <c r="J97" s="489">
        <v>26224830</v>
      </c>
      <c r="K97" s="489">
        <v>26102930.059999999</v>
      </c>
      <c r="L97" s="489">
        <v>0</v>
      </c>
      <c r="M97" s="490">
        <v>0.99535173574051772</v>
      </c>
      <c r="N97" s="490">
        <v>0</v>
      </c>
      <c r="O97" s="554">
        <v>0</v>
      </c>
      <c r="P97" s="551"/>
      <c r="Q97" s="552"/>
      <c r="R97" s="488">
        <v>5</v>
      </c>
      <c r="S97" s="489">
        <v>26102930.059999999</v>
      </c>
      <c r="T97" s="489">
        <v>0</v>
      </c>
      <c r="U97" s="490">
        <v>0.99535173574051772</v>
      </c>
      <c r="V97" s="490">
        <v>0</v>
      </c>
      <c r="W97" s="490">
        <v>0</v>
      </c>
      <c r="X97" s="488">
        <v>5</v>
      </c>
      <c r="Y97" s="489">
        <v>26102930.059999999</v>
      </c>
      <c r="Z97" s="489">
        <v>0</v>
      </c>
      <c r="AB97" s="490">
        <v>0.99535173574051772</v>
      </c>
      <c r="AC97" s="490">
        <v>0</v>
      </c>
      <c r="AD97" s="490">
        <v>0</v>
      </c>
      <c r="AE97" s="488">
        <v>5</v>
      </c>
      <c r="AF97" s="489">
        <v>26102930.059999999</v>
      </c>
      <c r="AG97" s="489">
        <v>0</v>
      </c>
      <c r="AH97" s="490">
        <v>0.99535173574051772</v>
      </c>
      <c r="AI97" s="490">
        <v>0</v>
      </c>
      <c r="AJ97" s="490">
        <v>0</v>
      </c>
    </row>
    <row r="98" spans="2:36" ht="63.75" x14ac:dyDescent="0.25">
      <c r="B98" s="488" t="s">
        <v>279</v>
      </c>
      <c r="C98" s="488" t="s">
        <v>190</v>
      </c>
      <c r="D98" s="488" t="s">
        <v>345</v>
      </c>
      <c r="E98" s="488" t="s">
        <v>1607</v>
      </c>
      <c r="F98" s="489">
        <v>8723624</v>
      </c>
      <c r="G98" s="489">
        <v>0</v>
      </c>
      <c r="H98" s="553">
        <v>0</v>
      </c>
      <c r="I98" s="552"/>
      <c r="J98" s="489">
        <v>8723624</v>
      </c>
      <c r="K98" s="489">
        <v>8720098.6199999992</v>
      </c>
      <c r="L98" s="489">
        <v>0</v>
      </c>
      <c r="M98" s="490">
        <v>0.99959588125302057</v>
      </c>
      <c r="N98" s="490">
        <v>0</v>
      </c>
      <c r="O98" s="554">
        <v>0</v>
      </c>
      <c r="P98" s="551"/>
      <c r="Q98" s="552"/>
      <c r="R98" s="488">
        <v>1</v>
      </c>
      <c r="S98" s="489">
        <v>8720098.6199999992</v>
      </c>
      <c r="T98" s="489">
        <v>0</v>
      </c>
      <c r="U98" s="490">
        <v>0.99959588125302057</v>
      </c>
      <c r="V98" s="490">
        <v>0</v>
      </c>
      <c r="W98" s="490">
        <v>0</v>
      </c>
      <c r="X98" s="488">
        <v>1</v>
      </c>
      <c r="Y98" s="489">
        <v>8720098.6199999992</v>
      </c>
      <c r="Z98" s="489">
        <v>0</v>
      </c>
      <c r="AB98" s="490">
        <v>0.99959588125302057</v>
      </c>
      <c r="AC98" s="490">
        <v>0</v>
      </c>
      <c r="AD98" s="490">
        <v>0</v>
      </c>
      <c r="AE98" s="488">
        <v>1</v>
      </c>
      <c r="AF98" s="489">
        <v>8720098.6199999992</v>
      </c>
      <c r="AG98" s="489">
        <v>0</v>
      </c>
      <c r="AH98" s="490">
        <v>0.99959588125302057</v>
      </c>
      <c r="AI98" s="490">
        <v>0</v>
      </c>
      <c r="AJ98" s="490">
        <v>0</v>
      </c>
    </row>
    <row r="99" spans="2:36" ht="63.75" x14ac:dyDescent="0.25">
      <c r="B99" s="488" t="s">
        <v>280</v>
      </c>
      <c r="C99" s="488" t="s">
        <v>608</v>
      </c>
      <c r="D99" s="488" t="s">
        <v>345</v>
      </c>
      <c r="E99" s="488" t="s">
        <v>1607</v>
      </c>
      <c r="F99" s="489">
        <v>17501206</v>
      </c>
      <c r="G99" s="489">
        <v>0</v>
      </c>
      <c r="H99" s="553">
        <v>0</v>
      </c>
      <c r="I99" s="552"/>
      <c r="J99" s="489">
        <v>17501206</v>
      </c>
      <c r="K99" s="489">
        <v>17382831.440000001</v>
      </c>
      <c r="L99" s="489">
        <v>0</v>
      </c>
      <c r="M99" s="490">
        <v>0.99323620555063463</v>
      </c>
      <c r="N99" s="490">
        <v>0</v>
      </c>
      <c r="O99" s="554">
        <v>0</v>
      </c>
      <c r="P99" s="551"/>
      <c r="Q99" s="552"/>
      <c r="R99" s="488">
        <v>4</v>
      </c>
      <c r="S99" s="489">
        <v>17382831.440000001</v>
      </c>
      <c r="T99" s="489">
        <v>0</v>
      </c>
      <c r="U99" s="490">
        <v>0.99323620555063463</v>
      </c>
      <c r="V99" s="490">
        <v>0</v>
      </c>
      <c r="W99" s="490">
        <v>0</v>
      </c>
      <c r="X99" s="488">
        <v>4</v>
      </c>
      <c r="Y99" s="489">
        <v>17382831.440000001</v>
      </c>
      <c r="Z99" s="489">
        <v>0</v>
      </c>
      <c r="AB99" s="490">
        <v>0.99323620555063463</v>
      </c>
      <c r="AC99" s="490">
        <v>0</v>
      </c>
      <c r="AD99" s="490">
        <v>0</v>
      </c>
      <c r="AE99" s="488">
        <v>4</v>
      </c>
      <c r="AF99" s="489">
        <v>17382831.440000001</v>
      </c>
      <c r="AG99" s="489">
        <v>0</v>
      </c>
      <c r="AH99" s="490">
        <v>0.99323620555063463</v>
      </c>
      <c r="AI99" s="490">
        <v>0</v>
      </c>
      <c r="AJ99" s="490">
        <v>0</v>
      </c>
    </row>
    <row r="100" spans="2:36" ht="63.75" x14ac:dyDescent="0.25">
      <c r="B100" s="488" t="s">
        <v>1244</v>
      </c>
      <c r="C100" s="488" t="s">
        <v>1245</v>
      </c>
      <c r="D100" s="488" t="s">
        <v>345</v>
      </c>
      <c r="E100" s="488" t="s">
        <v>1607</v>
      </c>
      <c r="F100" s="489">
        <v>6305108</v>
      </c>
      <c r="G100" s="489">
        <v>0</v>
      </c>
      <c r="H100" s="553">
        <v>0</v>
      </c>
      <c r="I100" s="552"/>
      <c r="J100" s="489">
        <v>6305108</v>
      </c>
      <c r="K100" s="489">
        <v>5797402.9400000004</v>
      </c>
      <c r="L100" s="489">
        <v>0</v>
      </c>
      <c r="M100" s="490">
        <v>0.91947718262716516</v>
      </c>
      <c r="N100" s="490">
        <v>0</v>
      </c>
      <c r="O100" s="554">
        <v>0</v>
      </c>
      <c r="P100" s="551"/>
      <c r="Q100" s="552"/>
      <c r="R100" s="488">
        <v>7</v>
      </c>
      <c r="S100" s="489">
        <v>5797402.9400000004</v>
      </c>
      <c r="T100" s="489">
        <v>0</v>
      </c>
      <c r="U100" s="490">
        <v>0.91947718262716516</v>
      </c>
      <c r="V100" s="490">
        <v>0</v>
      </c>
      <c r="W100" s="490">
        <v>0</v>
      </c>
      <c r="X100" s="488">
        <v>7</v>
      </c>
      <c r="Y100" s="489">
        <v>5797402.9400000004</v>
      </c>
      <c r="Z100" s="489">
        <v>0</v>
      </c>
      <c r="AB100" s="490">
        <v>0.91947718262716516</v>
      </c>
      <c r="AC100" s="490">
        <v>0</v>
      </c>
      <c r="AD100" s="490">
        <v>0</v>
      </c>
      <c r="AE100" s="488">
        <v>7</v>
      </c>
      <c r="AF100" s="489">
        <v>5797402.9400000004</v>
      </c>
      <c r="AG100" s="489">
        <v>0</v>
      </c>
      <c r="AH100" s="490">
        <v>0.91947718262716516</v>
      </c>
      <c r="AI100" s="490">
        <v>0</v>
      </c>
      <c r="AJ100" s="490">
        <v>0</v>
      </c>
    </row>
    <row r="101" spans="2:36" ht="63.75" x14ac:dyDescent="0.25">
      <c r="B101" s="488" t="s">
        <v>1366</v>
      </c>
      <c r="C101" s="488" t="s">
        <v>1367</v>
      </c>
      <c r="D101" s="488" t="s">
        <v>345</v>
      </c>
      <c r="E101" s="488" t="s">
        <v>1607</v>
      </c>
      <c r="F101" s="489">
        <v>3000000</v>
      </c>
      <c r="G101" s="489">
        <v>0</v>
      </c>
      <c r="H101" s="553">
        <v>0</v>
      </c>
      <c r="I101" s="552"/>
      <c r="J101" s="489">
        <v>3000000</v>
      </c>
      <c r="K101" s="489">
        <v>2890541.68</v>
      </c>
      <c r="L101" s="489">
        <v>0</v>
      </c>
      <c r="M101" s="490">
        <v>0.96351389333333337</v>
      </c>
      <c r="N101" s="490">
        <v>0</v>
      </c>
      <c r="O101" s="554">
        <v>0</v>
      </c>
      <c r="P101" s="551"/>
      <c r="Q101" s="552"/>
      <c r="R101" s="488">
        <v>1</v>
      </c>
      <c r="S101" s="489">
        <v>2890541.68</v>
      </c>
      <c r="T101" s="489">
        <v>0</v>
      </c>
      <c r="U101" s="490">
        <v>0.96351389333333337</v>
      </c>
      <c r="V101" s="490">
        <v>0</v>
      </c>
      <c r="W101" s="490">
        <v>0</v>
      </c>
      <c r="X101" s="488">
        <v>1</v>
      </c>
      <c r="Y101" s="489">
        <v>2890541.68</v>
      </c>
      <c r="Z101" s="489">
        <v>0</v>
      </c>
      <c r="AB101" s="490">
        <v>0.96351389333333337</v>
      </c>
      <c r="AC101" s="490">
        <v>0</v>
      </c>
      <c r="AD101" s="490">
        <v>0</v>
      </c>
      <c r="AE101" s="488">
        <v>1</v>
      </c>
      <c r="AF101" s="489">
        <v>2890541.68</v>
      </c>
      <c r="AG101" s="489">
        <v>0</v>
      </c>
      <c r="AH101" s="490">
        <v>0.96351389333333337</v>
      </c>
      <c r="AI101" s="490">
        <v>0</v>
      </c>
      <c r="AJ101" s="490">
        <v>0</v>
      </c>
    </row>
    <row r="102" spans="2:36" ht="63.75" x14ac:dyDescent="0.25">
      <c r="B102" s="488" t="s">
        <v>1368</v>
      </c>
      <c r="C102" s="488" t="s">
        <v>1369</v>
      </c>
      <c r="D102" s="488" t="s">
        <v>345</v>
      </c>
      <c r="E102" s="488" t="s">
        <v>1607</v>
      </c>
      <c r="F102" s="489">
        <v>3305108</v>
      </c>
      <c r="G102" s="489">
        <v>0</v>
      </c>
      <c r="H102" s="553">
        <v>0</v>
      </c>
      <c r="I102" s="552"/>
      <c r="J102" s="489">
        <v>3305108</v>
      </c>
      <c r="K102" s="489">
        <v>2906861.26</v>
      </c>
      <c r="L102" s="489">
        <v>0</v>
      </c>
      <c r="M102" s="490">
        <v>0.87950568029849552</v>
      </c>
      <c r="N102" s="490">
        <v>0</v>
      </c>
      <c r="O102" s="554">
        <v>0</v>
      </c>
      <c r="P102" s="551"/>
      <c r="Q102" s="552"/>
      <c r="R102" s="488">
        <v>6</v>
      </c>
      <c r="S102" s="489">
        <v>2906861.26</v>
      </c>
      <c r="T102" s="489">
        <v>0</v>
      </c>
      <c r="U102" s="490">
        <v>0.87950568029849552</v>
      </c>
      <c r="V102" s="490">
        <v>0</v>
      </c>
      <c r="W102" s="490">
        <v>0</v>
      </c>
      <c r="X102" s="488">
        <v>6</v>
      </c>
      <c r="Y102" s="489">
        <v>2906861.26</v>
      </c>
      <c r="Z102" s="489">
        <v>0</v>
      </c>
      <c r="AB102" s="490">
        <v>0.87950568029849552</v>
      </c>
      <c r="AC102" s="490">
        <v>0</v>
      </c>
      <c r="AD102" s="490">
        <v>0</v>
      </c>
      <c r="AE102" s="488">
        <v>6</v>
      </c>
      <c r="AF102" s="489">
        <v>2906861.26</v>
      </c>
      <c r="AG102" s="489">
        <v>0</v>
      </c>
      <c r="AH102" s="490">
        <v>0.87950568029849552</v>
      </c>
      <c r="AI102" s="490">
        <v>0</v>
      </c>
      <c r="AJ102" s="490">
        <v>0</v>
      </c>
    </row>
    <row r="103" spans="2:36" ht="25.5" x14ac:dyDescent="0.25">
      <c r="B103" s="488" t="s">
        <v>531</v>
      </c>
      <c r="C103" s="488" t="s">
        <v>67</v>
      </c>
      <c r="D103" s="488"/>
      <c r="E103" s="488"/>
      <c r="F103" s="489">
        <v>67507333</v>
      </c>
      <c r="G103" s="489">
        <v>0</v>
      </c>
      <c r="H103" s="553">
        <v>0</v>
      </c>
      <c r="I103" s="552"/>
      <c r="J103" s="489">
        <v>67507333</v>
      </c>
      <c r="K103" s="489">
        <v>65821749.299999997</v>
      </c>
      <c r="L103" s="489">
        <v>0</v>
      </c>
      <c r="M103" s="490">
        <v>0.97503110217670719</v>
      </c>
      <c r="N103" s="490">
        <v>0</v>
      </c>
      <c r="O103" s="554">
        <v>0</v>
      </c>
      <c r="P103" s="551"/>
      <c r="Q103" s="552"/>
      <c r="R103" s="488">
        <v>23</v>
      </c>
      <c r="S103" s="489">
        <v>65821749.299999997</v>
      </c>
      <c r="T103" s="489">
        <v>0</v>
      </c>
      <c r="U103" s="490">
        <v>0.97503110217670719</v>
      </c>
      <c r="V103" s="490">
        <v>0</v>
      </c>
      <c r="W103" s="490">
        <v>0</v>
      </c>
      <c r="X103" s="488">
        <v>23</v>
      </c>
      <c r="Y103" s="489">
        <v>65821749.299999997</v>
      </c>
      <c r="Z103" s="489">
        <v>0</v>
      </c>
      <c r="AB103" s="490">
        <v>0.97503110217670719</v>
      </c>
      <c r="AC103" s="490">
        <v>0</v>
      </c>
      <c r="AD103" s="490">
        <v>0</v>
      </c>
      <c r="AE103" s="488">
        <v>23</v>
      </c>
      <c r="AF103" s="489">
        <v>64027229.880000003</v>
      </c>
      <c r="AG103" s="489">
        <v>0</v>
      </c>
      <c r="AH103" s="490">
        <v>0.94844851714109335</v>
      </c>
      <c r="AI103" s="490">
        <v>0</v>
      </c>
      <c r="AJ103" s="490">
        <v>0</v>
      </c>
    </row>
    <row r="104" spans="2:36" ht="38.25" x14ac:dyDescent="0.25">
      <c r="B104" s="488" t="s">
        <v>281</v>
      </c>
      <c r="C104" s="488" t="s">
        <v>68</v>
      </c>
      <c r="D104" s="488" t="s">
        <v>344</v>
      </c>
      <c r="E104" s="488" t="s">
        <v>532</v>
      </c>
      <c r="F104" s="489">
        <v>67507333</v>
      </c>
      <c r="G104" s="489">
        <v>0</v>
      </c>
      <c r="H104" s="553">
        <v>0</v>
      </c>
      <c r="I104" s="552"/>
      <c r="J104" s="489">
        <v>67507333</v>
      </c>
      <c r="K104" s="489">
        <v>65821749.299999997</v>
      </c>
      <c r="L104" s="489">
        <v>0</v>
      </c>
      <c r="M104" s="490">
        <v>0.97503110217670719</v>
      </c>
      <c r="N104" s="490">
        <v>0</v>
      </c>
      <c r="O104" s="554">
        <v>0</v>
      </c>
      <c r="P104" s="551"/>
      <c r="Q104" s="552"/>
      <c r="R104" s="488">
        <v>23</v>
      </c>
      <c r="S104" s="489">
        <v>65821749.299999997</v>
      </c>
      <c r="T104" s="489">
        <v>0</v>
      </c>
      <c r="U104" s="490">
        <v>0.97503110217670719</v>
      </c>
      <c r="V104" s="490">
        <v>0</v>
      </c>
      <c r="W104" s="490">
        <v>0</v>
      </c>
      <c r="X104" s="488">
        <v>23</v>
      </c>
      <c r="Y104" s="489">
        <v>65821749.299999997</v>
      </c>
      <c r="Z104" s="489">
        <v>0</v>
      </c>
      <c r="AB104" s="490">
        <v>0.97503110217670719</v>
      </c>
      <c r="AC104" s="490">
        <v>0</v>
      </c>
      <c r="AD104" s="490">
        <v>0</v>
      </c>
      <c r="AE104" s="488">
        <v>23</v>
      </c>
      <c r="AF104" s="489">
        <v>64027229.880000003</v>
      </c>
      <c r="AG104" s="489">
        <v>0</v>
      </c>
      <c r="AH104" s="490">
        <v>0.94844851714109335</v>
      </c>
      <c r="AI104" s="490">
        <v>0</v>
      </c>
      <c r="AJ104" s="490">
        <v>0</v>
      </c>
    </row>
    <row r="105" spans="2:36" ht="63.75" x14ac:dyDescent="0.25">
      <c r="B105" s="488" t="s">
        <v>533</v>
      </c>
      <c r="C105" s="488" t="s">
        <v>534</v>
      </c>
      <c r="D105" s="488"/>
      <c r="E105" s="488"/>
      <c r="F105" s="489">
        <v>344111916</v>
      </c>
      <c r="G105" s="489">
        <v>24165500</v>
      </c>
      <c r="H105" s="553">
        <v>0</v>
      </c>
      <c r="I105" s="552"/>
      <c r="J105" s="489">
        <v>344111916</v>
      </c>
      <c r="K105" s="489">
        <v>303781546.79000002</v>
      </c>
      <c r="L105" s="489">
        <v>14698287.470000001</v>
      </c>
      <c r="M105" s="490">
        <v>0.88279868457098121</v>
      </c>
      <c r="N105" s="490">
        <v>0</v>
      </c>
      <c r="O105" s="554">
        <v>0</v>
      </c>
      <c r="P105" s="551"/>
      <c r="Q105" s="552"/>
      <c r="R105" s="488">
        <v>133</v>
      </c>
      <c r="S105" s="489">
        <v>303781546.79000002</v>
      </c>
      <c r="T105" s="489">
        <v>14698287.470000001</v>
      </c>
      <c r="U105" s="490">
        <v>0.88279868457098121</v>
      </c>
      <c r="V105" s="490">
        <v>0</v>
      </c>
      <c r="W105" s="490">
        <v>0</v>
      </c>
      <c r="X105" s="488">
        <v>133</v>
      </c>
      <c r="Y105" s="489">
        <v>303781546.79000002</v>
      </c>
      <c r="Z105" s="489">
        <v>14698287.470000001</v>
      </c>
      <c r="AB105" s="490">
        <v>0.88279868457098121</v>
      </c>
      <c r="AC105" s="490">
        <v>0</v>
      </c>
      <c r="AD105" s="490">
        <v>0</v>
      </c>
      <c r="AE105" s="488">
        <v>133</v>
      </c>
      <c r="AF105" s="489">
        <v>301794336.81</v>
      </c>
      <c r="AG105" s="489">
        <v>14647502.24</v>
      </c>
      <c r="AH105" s="490">
        <v>0.87702379016133813</v>
      </c>
      <c r="AI105" s="490">
        <v>0</v>
      </c>
      <c r="AJ105" s="490">
        <v>0</v>
      </c>
    </row>
    <row r="106" spans="2:36" ht="25.5" x14ac:dyDescent="0.25">
      <c r="B106" s="488" t="s">
        <v>282</v>
      </c>
      <c r="C106" s="488" t="s">
        <v>535</v>
      </c>
      <c r="D106" s="488" t="s">
        <v>344</v>
      </c>
      <c r="E106" s="488" t="s">
        <v>532</v>
      </c>
      <c r="F106" s="489">
        <v>58552956</v>
      </c>
      <c r="G106" s="489">
        <v>0</v>
      </c>
      <c r="H106" s="553">
        <v>0</v>
      </c>
      <c r="I106" s="552"/>
      <c r="J106" s="489">
        <v>58552956</v>
      </c>
      <c r="K106" s="489">
        <v>54726810.719999999</v>
      </c>
      <c r="L106" s="489">
        <v>0</v>
      </c>
      <c r="M106" s="490">
        <v>0.93465495952074562</v>
      </c>
      <c r="N106" s="490">
        <v>0</v>
      </c>
      <c r="O106" s="554">
        <v>0</v>
      </c>
      <c r="P106" s="551"/>
      <c r="Q106" s="552"/>
      <c r="R106" s="488">
        <v>5</v>
      </c>
      <c r="S106" s="489">
        <v>54726810.719999999</v>
      </c>
      <c r="T106" s="489">
        <v>0</v>
      </c>
      <c r="U106" s="490">
        <v>0.93465495952074562</v>
      </c>
      <c r="V106" s="490">
        <v>0</v>
      </c>
      <c r="W106" s="490">
        <v>0</v>
      </c>
      <c r="X106" s="488">
        <v>5</v>
      </c>
      <c r="Y106" s="489">
        <v>54726810.719999999</v>
      </c>
      <c r="Z106" s="489">
        <v>0</v>
      </c>
      <c r="AB106" s="490">
        <v>0.93465495952074562</v>
      </c>
      <c r="AC106" s="490">
        <v>0</v>
      </c>
      <c r="AD106" s="490">
        <v>0</v>
      </c>
      <c r="AE106" s="488">
        <v>5</v>
      </c>
      <c r="AF106" s="489">
        <v>53219294.700000003</v>
      </c>
      <c r="AG106" s="489">
        <v>0</v>
      </c>
      <c r="AH106" s="490">
        <v>0.90890876115631125</v>
      </c>
      <c r="AI106" s="490">
        <v>0</v>
      </c>
      <c r="AJ106" s="490">
        <v>0</v>
      </c>
    </row>
    <row r="107" spans="2:36" ht="63.75" x14ac:dyDescent="0.25">
      <c r="B107" s="488" t="s">
        <v>283</v>
      </c>
      <c r="C107" s="488" t="s">
        <v>536</v>
      </c>
      <c r="D107" s="488" t="s">
        <v>344</v>
      </c>
      <c r="E107" s="488" t="s">
        <v>1607</v>
      </c>
      <c r="F107" s="489">
        <v>260689872</v>
      </c>
      <c r="G107" s="489">
        <v>24165500</v>
      </c>
      <c r="H107" s="553">
        <v>0</v>
      </c>
      <c r="I107" s="552"/>
      <c r="J107" s="489">
        <v>260689872</v>
      </c>
      <c r="K107" s="489">
        <v>224431858</v>
      </c>
      <c r="L107" s="489">
        <v>14698287.470000001</v>
      </c>
      <c r="M107" s="490">
        <v>0.86091514134465497</v>
      </c>
      <c r="N107" s="490">
        <v>0</v>
      </c>
      <c r="O107" s="554">
        <v>0</v>
      </c>
      <c r="P107" s="551"/>
      <c r="Q107" s="552"/>
      <c r="R107" s="488">
        <v>127</v>
      </c>
      <c r="S107" s="489">
        <v>224431858</v>
      </c>
      <c r="T107" s="489">
        <v>14698287.470000001</v>
      </c>
      <c r="U107" s="490">
        <v>0.86091514134465497</v>
      </c>
      <c r="V107" s="490">
        <v>0</v>
      </c>
      <c r="W107" s="490">
        <v>0</v>
      </c>
      <c r="X107" s="488">
        <v>127</v>
      </c>
      <c r="Y107" s="489">
        <v>224431858</v>
      </c>
      <c r="Z107" s="489">
        <v>14698287.470000001</v>
      </c>
      <c r="AB107" s="490">
        <v>0.86091514134465497</v>
      </c>
      <c r="AC107" s="490">
        <v>0</v>
      </c>
      <c r="AD107" s="490">
        <v>0</v>
      </c>
      <c r="AE107" s="488">
        <v>127</v>
      </c>
      <c r="AF107" s="489">
        <v>223952164.03999999</v>
      </c>
      <c r="AG107" s="489">
        <v>14647502.24</v>
      </c>
      <c r="AH107" s="490">
        <v>0.85907504699683923</v>
      </c>
      <c r="AI107" s="490">
        <v>0</v>
      </c>
      <c r="AJ107" s="490">
        <v>0</v>
      </c>
    </row>
    <row r="108" spans="2:36" ht="63.75" x14ac:dyDescent="0.25">
      <c r="B108" s="488" t="s">
        <v>462</v>
      </c>
      <c r="C108" s="488" t="s">
        <v>537</v>
      </c>
      <c r="D108" s="488" t="s">
        <v>344</v>
      </c>
      <c r="E108" s="488" t="s">
        <v>1607</v>
      </c>
      <c r="F108" s="489">
        <v>24869088</v>
      </c>
      <c r="G108" s="489">
        <v>0</v>
      </c>
      <c r="H108" s="553">
        <v>0</v>
      </c>
      <c r="I108" s="552"/>
      <c r="J108" s="489">
        <v>24869088</v>
      </c>
      <c r="K108" s="489">
        <v>24622878.07</v>
      </c>
      <c r="L108" s="489">
        <v>0</v>
      </c>
      <c r="M108" s="490">
        <v>0.99009976039330438</v>
      </c>
      <c r="N108" s="490">
        <v>0</v>
      </c>
      <c r="O108" s="554">
        <v>0</v>
      </c>
      <c r="P108" s="551"/>
      <c r="Q108" s="552"/>
      <c r="R108" s="488">
        <v>1</v>
      </c>
      <c r="S108" s="489">
        <v>24622878.07</v>
      </c>
      <c r="T108" s="489">
        <v>0</v>
      </c>
      <c r="U108" s="490">
        <v>0.99009976039330438</v>
      </c>
      <c r="V108" s="490">
        <v>0</v>
      </c>
      <c r="W108" s="490">
        <v>0</v>
      </c>
      <c r="X108" s="488">
        <v>1</v>
      </c>
      <c r="Y108" s="489">
        <v>24622878.07</v>
      </c>
      <c r="Z108" s="489">
        <v>0</v>
      </c>
      <c r="AB108" s="490">
        <v>0.99009976039330438</v>
      </c>
      <c r="AC108" s="490">
        <v>0</v>
      </c>
      <c r="AD108" s="490">
        <v>0</v>
      </c>
      <c r="AE108" s="488">
        <v>1</v>
      </c>
      <c r="AF108" s="489">
        <v>24622878.07</v>
      </c>
      <c r="AG108" s="489">
        <v>0</v>
      </c>
      <c r="AH108" s="490">
        <v>0.99009976039330438</v>
      </c>
      <c r="AI108" s="490">
        <v>0</v>
      </c>
      <c r="AJ108" s="490">
        <v>0</v>
      </c>
    </row>
    <row r="109" spans="2:36" x14ac:dyDescent="0.25">
      <c r="B109" s="485" t="s">
        <v>284</v>
      </c>
      <c r="C109" s="485" t="s">
        <v>75</v>
      </c>
      <c r="D109" s="485"/>
      <c r="E109" s="485"/>
      <c r="F109" s="486">
        <v>929199593</v>
      </c>
      <c r="G109" s="486">
        <v>0</v>
      </c>
      <c r="H109" s="555">
        <v>0</v>
      </c>
      <c r="I109" s="552"/>
      <c r="J109" s="486">
        <v>929199593</v>
      </c>
      <c r="K109" s="486">
        <v>801894815.96000004</v>
      </c>
      <c r="L109" s="486">
        <v>0</v>
      </c>
      <c r="M109" s="487">
        <v>0.86299522944367024</v>
      </c>
      <c r="N109" s="487">
        <v>0</v>
      </c>
      <c r="O109" s="550">
        <v>0</v>
      </c>
      <c r="P109" s="551"/>
      <c r="Q109" s="552"/>
      <c r="R109" s="485">
        <v>89</v>
      </c>
      <c r="S109" s="486">
        <v>801894815.96000004</v>
      </c>
      <c r="T109" s="486">
        <v>0</v>
      </c>
      <c r="U109" s="487">
        <v>0.86299522944367024</v>
      </c>
      <c r="V109" s="487">
        <v>0</v>
      </c>
      <c r="W109" s="487">
        <v>0</v>
      </c>
      <c r="X109" s="485">
        <v>89</v>
      </c>
      <c r="Y109" s="486">
        <v>801894815.96000004</v>
      </c>
      <c r="Z109" s="486">
        <v>0</v>
      </c>
      <c r="AB109" s="487">
        <v>0.86299522944367024</v>
      </c>
      <c r="AC109" s="487">
        <v>0</v>
      </c>
      <c r="AD109" s="487">
        <v>0</v>
      </c>
      <c r="AE109" s="485">
        <v>89</v>
      </c>
      <c r="AF109" s="486">
        <v>802575771.75999999</v>
      </c>
      <c r="AG109" s="486">
        <v>0</v>
      </c>
      <c r="AH109" s="487">
        <v>0.86372807070310453</v>
      </c>
      <c r="AI109" s="487">
        <v>0</v>
      </c>
      <c r="AJ109" s="487">
        <v>0</v>
      </c>
    </row>
    <row r="110" spans="2:36" ht="25.5" x14ac:dyDescent="0.25">
      <c r="B110" s="488" t="s">
        <v>538</v>
      </c>
      <c r="C110" s="488" t="s">
        <v>539</v>
      </c>
      <c r="D110" s="488"/>
      <c r="E110" s="488"/>
      <c r="F110" s="489">
        <v>528270272</v>
      </c>
      <c r="G110" s="489">
        <v>0</v>
      </c>
      <c r="H110" s="553">
        <v>0</v>
      </c>
      <c r="I110" s="552"/>
      <c r="J110" s="489">
        <v>528270272</v>
      </c>
      <c r="K110" s="489">
        <v>510380676.94</v>
      </c>
      <c r="L110" s="489">
        <v>0</v>
      </c>
      <c r="M110" s="490">
        <v>0.96613552568030936</v>
      </c>
      <c r="N110" s="490">
        <v>0</v>
      </c>
      <c r="O110" s="554">
        <v>0</v>
      </c>
      <c r="P110" s="551"/>
      <c r="Q110" s="552"/>
      <c r="R110" s="488">
        <v>49</v>
      </c>
      <c r="S110" s="489">
        <v>510380676.94</v>
      </c>
      <c r="T110" s="489">
        <v>0</v>
      </c>
      <c r="U110" s="490">
        <v>0.96613552568030936</v>
      </c>
      <c r="V110" s="490">
        <v>0</v>
      </c>
      <c r="W110" s="490">
        <v>0</v>
      </c>
      <c r="X110" s="488">
        <v>49</v>
      </c>
      <c r="Y110" s="489">
        <v>510380676.94</v>
      </c>
      <c r="Z110" s="489">
        <v>0</v>
      </c>
      <c r="AB110" s="490">
        <v>0.96613552568030936</v>
      </c>
      <c r="AC110" s="490">
        <v>0</v>
      </c>
      <c r="AD110" s="490">
        <v>0</v>
      </c>
      <c r="AE110" s="488">
        <v>49</v>
      </c>
      <c r="AF110" s="489">
        <v>511399749.13999999</v>
      </c>
      <c r="AG110" s="489">
        <v>0</v>
      </c>
      <c r="AH110" s="490">
        <v>0.96806459921333599</v>
      </c>
      <c r="AI110" s="490">
        <v>0</v>
      </c>
      <c r="AJ110" s="490">
        <v>0</v>
      </c>
    </row>
    <row r="111" spans="2:36" ht="25.5" x14ac:dyDescent="0.25">
      <c r="B111" s="488" t="s">
        <v>285</v>
      </c>
      <c r="C111" s="488" t="s">
        <v>540</v>
      </c>
      <c r="D111" s="488" t="s">
        <v>345</v>
      </c>
      <c r="E111" s="488" t="s">
        <v>491</v>
      </c>
      <c r="F111" s="489">
        <v>71113776</v>
      </c>
      <c r="G111" s="489">
        <v>0</v>
      </c>
      <c r="H111" s="553">
        <v>0</v>
      </c>
      <c r="I111" s="552"/>
      <c r="J111" s="489">
        <v>71113776</v>
      </c>
      <c r="K111" s="489">
        <v>67678486.409999996</v>
      </c>
      <c r="L111" s="489">
        <v>0</v>
      </c>
      <c r="M111" s="490">
        <v>0.95169305044355967</v>
      </c>
      <c r="N111" s="490">
        <v>0</v>
      </c>
      <c r="O111" s="554">
        <v>0</v>
      </c>
      <c r="P111" s="551"/>
      <c r="Q111" s="552"/>
      <c r="R111" s="488">
        <v>6</v>
      </c>
      <c r="S111" s="489">
        <v>67678486.409999996</v>
      </c>
      <c r="T111" s="489">
        <v>0</v>
      </c>
      <c r="U111" s="490">
        <v>0.95169305044355967</v>
      </c>
      <c r="V111" s="490">
        <v>0</v>
      </c>
      <c r="W111" s="490">
        <v>0</v>
      </c>
      <c r="X111" s="488">
        <v>6</v>
      </c>
      <c r="Y111" s="489">
        <v>67678486.409999996</v>
      </c>
      <c r="Z111" s="489">
        <v>0</v>
      </c>
      <c r="AB111" s="490">
        <v>0.95169305044355967</v>
      </c>
      <c r="AC111" s="490">
        <v>0</v>
      </c>
      <c r="AD111" s="490">
        <v>0</v>
      </c>
      <c r="AE111" s="488">
        <v>6</v>
      </c>
      <c r="AF111" s="489">
        <v>68830864.569999993</v>
      </c>
      <c r="AG111" s="489">
        <v>0</v>
      </c>
      <c r="AH111" s="490">
        <v>0.96789776104702974</v>
      </c>
      <c r="AI111" s="490">
        <v>0</v>
      </c>
      <c r="AJ111" s="490">
        <v>0</v>
      </c>
    </row>
    <row r="112" spans="2:36" ht="25.5" x14ac:dyDescent="0.25">
      <c r="B112" s="488" t="s">
        <v>286</v>
      </c>
      <c r="C112" s="488" t="s">
        <v>541</v>
      </c>
      <c r="D112" s="488" t="s">
        <v>345</v>
      </c>
      <c r="E112" s="488" t="s">
        <v>491</v>
      </c>
      <c r="F112" s="489">
        <v>12984765</v>
      </c>
      <c r="G112" s="489">
        <v>0</v>
      </c>
      <c r="H112" s="553">
        <v>0</v>
      </c>
      <c r="I112" s="552"/>
      <c r="J112" s="489">
        <v>12984765</v>
      </c>
      <c r="K112" s="489">
        <v>11839585.01</v>
      </c>
      <c r="L112" s="489">
        <v>0</v>
      </c>
      <c r="M112" s="490">
        <v>0.91180587480789987</v>
      </c>
      <c r="N112" s="490">
        <v>0</v>
      </c>
      <c r="O112" s="554">
        <v>0</v>
      </c>
      <c r="P112" s="551"/>
      <c r="Q112" s="552"/>
      <c r="R112" s="488">
        <v>2</v>
      </c>
      <c r="S112" s="489">
        <v>11839585.01</v>
      </c>
      <c r="T112" s="489">
        <v>0</v>
      </c>
      <c r="U112" s="490">
        <v>0.91180587480789987</v>
      </c>
      <c r="V112" s="490">
        <v>0</v>
      </c>
      <c r="W112" s="490">
        <v>0</v>
      </c>
      <c r="X112" s="488">
        <v>2</v>
      </c>
      <c r="Y112" s="489">
        <v>11839585.01</v>
      </c>
      <c r="Z112" s="489">
        <v>0</v>
      </c>
      <c r="AB112" s="490">
        <v>0.91180587480789987</v>
      </c>
      <c r="AC112" s="490">
        <v>0</v>
      </c>
      <c r="AD112" s="490">
        <v>0</v>
      </c>
      <c r="AE112" s="488">
        <v>2</v>
      </c>
      <c r="AF112" s="489">
        <v>11839585.01</v>
      </c>
      <c r="AG112" s="489">
        <v>0</v>
      </c>
      <c r="AH112" s="490">
        <v>0.91180587480789987</v>
      </c>
      <c r="AI112" s="490">
        <v>0</v>
      </c>
      <c r="AJ112" s="490">
        <v>0</v>
      </c>
    </row>
    <row r="113" spans="2:36" ht="38.25" x14ac:dyDescent="0.25">
      <c r="B113" s="488" t="s">
        <v>440</v>
      </c>
      <c r="C113" s="488" t="s">
        <v>79</v>
      </c>
      <c r="D113" s="488" t="s">
        <v>345</v>
      </c>
      <c r="E113" s="488" t="s">
        <v>491</v>
      </c>
      <c r="F113" s="489">
        <v>106823313</v>
      </c>
      <c r="G113" s="489">
        <v>0</v>
      </c>
      <c r="H113" s="553">
        <v>0</v>
      </c>
      <c r="I113" s="552"/>
      <c r="J113" s="489">
        <v>106823313</v>
      </c>
      <c r="K113" s="489">
        <v>106807324.67</v>
      </c>
      <c r="L113" s="489">
        <v>0</v>
      </c>
      <c r="M113" s="490">
        <v>0.9998503292066967</v>
      </c>
      <c r="N113" s="490">
        <v>0</v>
      </c>
      <c r="O113" s="554">
        <v>0</v>
      </c>
      <c r="P113" s="551"/>
      <c r="Q113" s="552"/>
      <c r="R113" s="488">
        <v>5</v>
      </c>
      <c r="S113" s="489">
        <v>106807324.67</v>
      </c>
      <c r="T113" s="489">
        <v>0</v>
      </c>
      <c r="U113" s="490">
        <v>0.9998503292066967</v>
      </c>
      <c r="V113" s="490">
        <v>0</v>
      </c>
      <c r="W113" s="490">
        <v>0</v>
      </c>
      <c r="X113" s="488">
        <v>5</v>
      </c>
      <c r="Y113" s="489">
        <v>106807324.67</v>
      </c>
      <c r="Z113" s="489">
        <v>0</v>
      </c>
      <c r="AB113" s="490">
        <v>0.9998503292066967</v>
      </c>
      <c r="AC113" s="490">
        <v>0</v>
      </c>
      <c r="AD113" s="490">
        <v>0</v>
      </c>
      <c r="AE113" s="488">
        <v>5</v>
      </c>
      <c r="AF113" s="489">
        <v>106807324.67</v>
      </c>
      <c r="AG113" s="489">
        <v>0</v>
      </c>
      <c r="AH113" s="490">
        <v>0.9998503292066967</v>
      </c>
      <c r="AI113" s="490">
        <v>0</v>
      </c>
      <c r="AJ113" s="490">
        <v>0</v>
      </c>
    </row>
    <row r="114" spans="2:36" ht="25.5" x14ac:dyDescent="0.25">
      <c r="B114" s="488" t="s">
        <v>287</v>
      </c>
      <c r="C114" s="488" t="s">
        <v>542</v>
      </c>
      <c r="D114" s="488" t="s">
        <v>345</v>
      </c>
      <c r="E114" s="488" t="s">
        <v>491</v>
      </c>
      <c r="F114" s="489">
        <v>106823313</v>
      </c>
      <c r="G114" s="489">
        <v>0</v>
      </c>
      <c r="H114" s="553">
        <v>0</v>
      </c>
      <c r="I114" s="552"/>
      <c r="J114" s="489">
        <v>106823313</v>
      </c>
      <c r="K114" s="489">
        <v>106807324.67</v>
      </c>
      <c r="L114" s="489">
        <v>0</v>
      </c>
      <c r="M114" s="490">
        <v>0.9998503292066967</v>
      </c>
      <c r="N114" s="490">
        <v>0</v>
      </c>
      <c r="O114" s="554">
        <v>0</v>
      </c>
      <c r="P114" s="551"/>
      <c r="Q114" s="552"/>
      <c r="R114" s="488">
        <v>5</v>
      </c>
      <c r="S114" s="489">
        <v>106807324.67</v>
      </c>
      <c r="T114" s="489">
        <v>0</v>
      </c>
      <c r="U114" s="490">
        <v>0.9998503292066967</v>
      </c>
      <c r="V114" s="490">
        <v>0</v>
      </c>
      <c r="W114" s="490">
        <v>0</v>
      </c>
      <c r="X114" s="488">
        <v>5</v>
      </c>
      <c r="Y114" s="489">
        <v>106807324.67</v>
      </c>
      <c r="Z114" s="489">
        <v>0</v>
      </c>
      <c r="AB114" s="490">
        <v>0.9998503292066967</v>
      </c>
      <c r="AC114" s="490">
        <v>0</v>
      </c>
      <c r="AD114" s="490">
        <v>0</v>
      </c>
      <c r="AE114" s="488">
        <v>5</v>
      </c>
      <c r="AF114" s="489">
        <v>106807324.67</v>
      </c>
      <c r="AG114" s="489">
        <v>0</v>
      </c>
      <c r="AH114" s="490">
        <v>0.9998503292066967</v>
      </c>
      <c r="AI114" s="490">
        <v>0</v>
      </c>
      <c r="AJ114" s="490">
        <v>0</v>
      </c>
    </row>
    <row r="115" spans="2:36" ht="25.5" x14ac:dyDescent="0.25">
      <c r="B115" s="488" t="s">
        <v>288</v>
      </c>
      <c r="C115" s="488" t="s">
        <v>612</v>
      </c>
      <c r="D115" s="488"/>
      <c r="E115" s="488" t="s">
        <v>491</v>
      </c>
      <c r="F115" s="489">
        <v>0</v>
      </c>
      <c r="G115" s="489">
        <v>0</v>
      </c>
      <c r="H115" s="553">
        <v>0</v>
      </c>
      <c r="I115" s="552"/>
      <c r="J115" s="489">
        <v>0</v>
      </c>
      <c r="K115" s="489">
        <v>0</v>
      </c>
      <c r="L115" s="489">
        <v>0</v>
      </c>
      <c r="M115" s="490">
        <v>0</v>
      </c>
      <c r="N115" s="490">
        <v>0</v>
      </c>
      <c r="O115" s="554">
        <v>0</v>
      </c>
      <c r="P115" s="551"/>
      <c r="Q115" s="552"/>
      <c r="R115" s="488">
        <v>0</v>
      </c>
      <c r="S115" s="489">
        <v>0</v>
      </c>
      <c r="T115" s="489">
        <v>0</v>
      </c>
      <c r="U115" s="490">
        <v>0</v>
      </c>
      <c r="V115" s="490">
        <v>0</v>
      </c>
      <c r="W115" s="490">
        <v>0</v>
      </c>
      <c r="X115" s="488">
        <v>0</v>
      </c>
      <c r="Y115" s="489">
        <v>0</v>
      </c>
      <c r="Z115" s="489">
        <v>0</v>
      </c>
      <c r="AB115" s="490">
        <v>0</v>
      </c>
      <c r="AC115" s="490">
        <v>0</v>
      </c>
      <c r="AD115" s="490">
        <v>0</v>
      </c>
      <c r="AE115" s="488">
        <v>0</v>
      </c>
      <c r="AF115" s="489">
        <v>0</v>
      </c>
      <c r="AG115" s="489">
        <v>0</v>
      </c>
      <c r="AH115" s="490">
        <v>0</v>
      </c>
      <c r="AI115" s="490">
        <v>0</v>
      </c>
      <c r="AJ115" s="490">
        <v>0</v>
      </c>
    </row>
    <row r="116" spans="2:36" ht="25.5" x14ac:dyDescent="0.25">
      <c r="B116" s="488" t="s">
        <v>441</v>
      </c>
      <c r="C116" s="488" t="s">
        <v>543</v>
      </c>
      <c r="D116" s="488" t="s">
        <v>345</v>
      </c>
      <c r="E116" s="488" t="s">
        <v>491</v>
      </c>
      <c r="F116" s="489">
        <v>49756932</v>
      </c>
      <c r="G116" s="489">
        <v>0</v>
      </c>
      <c r="H116" s="553">
        <v>0</v>
      </c>
      <c r="I116" s="552"/>
      <c r="J116" s="489">
        <v>49756932</v>
      </c>
      <c r="K116" s="489">
        <v>44979146.530000001</v>
      </c>
      <c r="L116" s="489">
        <v>0</v>
      </c>
      <c r="M116" s="490">
        <v>0.9039774906137702</v>
      </c>
      <c r="N116" s="490">
        <v>0</v>
      </c>
      <c r="O116" s="554">
        <v>0</v>
      </c>
      <c r="P116" s="551"/>
      <c r="Q116" s="552"/>
      <c r="R116" s="488">
        <v>9</v>
      </c>
      <c r="S116" s="489">
        <v>44979146.530000001</v>
      </c>
      <c r="T116" s="489">
        <v>0</v>
      </c>
      <c r="U116" s="490">
        <v>0.9039774906137702</v>
      </c>
      <c r="V116" s="490">
        <v>0</v>
      </c>
      <c r="W116" s="490">
        <v>0</v>
      </c>
      <c r="X116" s="488">
        <v>9</v>
      </c>
      <c r="Y116" s="489">
        <v>44979146.530000001</v>
      </c>
      <c r="Z116" s="489">
        <v>0</v>
      </c>
      <c r="AB116" s="490">
        <v>0.9039774906137702</v>
      </c>
      <c r="AC116" s="490">
        <v>0</v>
      </c>
      <c r="AD116" s="490">
        <v>0</v>
      </c>
      <c r="AE116" s="488">
        <v>9</v>
      </c>
      <c r="AF116" s="489">
        <v>45378831.93</v>
      </c>
      <c r="AG116" s="489">
        <v>0</v>
      </c>
      <c r="AH116" s="490">
        <v>0.91201024874282843</v>
      </c>
      <c r="AI116" s="490">
        <v>0</v>
      </c>
      <c r="AJ116" s="490">
        <v>0</v>
      </c>
    </row>
    <row r="117" spans="2:36" ht="25.5" x14ac:dyDescent="0.25">
      <c r="B117" s="488" t="s">
        <v>289</v>
      </c>
      <c r="C117" s="488" t="s">
        <v>194</v>
      </c>
      <c r="D117" s="488"/>
      <c r="E117" s="488" t="s">
        <v>491</v>
      </c>
      <c r="F117" s="489">
        <v>0</v>
      </c>
      <c r="G117" s="489">
        <v>0</v>
      </c>
      <c r="H117" s="553">
        <v>0</v>
      </c>
      <c r="I117" s="552"/>
      <c r="J117" s="489">
        <v>0</v>
      </c>
      <c r="K117" s="489">
        <v>0</v>
      </c>
      <c r="L117" s="489">
        <v>0</v>
      </c>
      <c r="M117" s="490">
        <v>0</v>
      </c>
      <c r="N117" s="490">
        <v>0</v>
      </c>
      <c r="O117" s="554">
        <v>0</v>
      </c>
      <c r="P117" s="551"/>
      <c r="Q117" s="552"/>
      <c r="R117" s="488">
        <v>0</v>
      </c>
      <c r="S117" s="489">
        <v>0</v>
      </c>
      <c r="T117" s="489">
        <v>0</v>
      </c>
      <c r="U117" s="490">
        <v>0</v>
      </c>
      <c r="V117" s="490">
        <v>0</v>
      </c>
      <c r="W117" s="490">
        <v>0</v>
      </c>
      <c r="X117" s="488">
        <v>0</v>
      </c>
      <c r="Y117" s="489">
        <v>0</v>
      </c>
      <c r="Z117" s="489">
        <v>0</v>
      </c>
      <c r="AB117" s="490">
        <v>0</v>
      </c>
      <c r="AC117" s="490">
        <v>0</v>
      </c>
      <c r="AD117" s="490">
        <v>0</v>
      </c>
      <c r="AE117" s="488">
        <v>0</v>
      </c>
      <c r="AF117" s="489">
        <v>0</v>
      </c>
      <c r="AG117" s="489">
        <v>0</v>
      </c>
      <c r="AH117" s="490">
        <v>0</v>
      </c>
      <c r="AI117" s="490">
        <v>0</v>
      </c>
      <c r="AJ117" s="490">
        <v>0</v>
      </c>
    </row>
    <row r="118" spans="2:36" ht="25.5" x14ac:dyDescent="0.25">
      <c r="B118" s="488" t="s">
        <v>290</v>
      </c>
      <c r="C118" s="488" t="s">
        <v>195</v>
      </c>
      <c r="D118" s="488" t="s">
        <v>345</v>
      </c>
      <c r="E118" s="488" t="s">
        <v>491</v>
      </c>
      <c r="F118" s="489">
        <v>49756932</v>
      </c>
      <c r="G118" s="489">
        <v>0</v>
      </c>
      <c r="H118" s="553">
        <v>0</v>
      </c>
      <c r="I118" s="552"/>
      <c r="J118" s="489">
        <v>49756932</v>
      </c>
      <c r="K118" s="489">
        <v>44979146.530000001</v>
      </c>
      <c r="L118" s="489">
        <v>0</v>
      </c>
      <c r="M118" s="490">
        <v>0.9039774906137702</v>
      </c>
      <c r="N118" s="490">
        <v>0</v>
      </c>
      <c r="O118" s="554">
        <v>0</v>
      </c>
      <c r="P118" s="551"/>
      <c r="Q118" s="552"/>
      <c r="R118" s="488">
        <v>9</v>
      </c>
      <c r="S118" s="489">
        <v>44979146.530000001</v>
      </c>
      <c r="T118" s="489">
        <v>0</v>
      </c>
      <c r="U118" s="490">
        <v>0.9039774906137702</v>
      </c>
      <c r="V118" s="490">
        <v>0</v>
      </c>
      <c r="W118" s="490">
        <v>0</v>
      </c>
      <c r="X118" s="488">
        <v>9</v>
      </c>
      <c r="Y118" s="489">
        <v>44979146.530000001</v>
      </c>
      <c r="Z118" s="489">
        <v>0</v>
      </c>
      <c r="AB118" s="490">
        <v>0.9039774906137702</v>
      </c>
      <c r="AC118" s="490">
        <v>0</v>
      </c>
      <c r="AD118" s="490">
        <v>0</v>
      </c>
      <c r="AE118" s="488">
        <v>9</v>
      </c>
      <c r="AF118" s="489">
        <v>45378831.93</v>
      </c>
      <c r="AG118" s="489">
        <v>0</v>
      </c>
      <c r="AH118" s="490">
        <v>0.91201024874282843</v>
      </c>
      <c r="AI118" s="490">
        <v>0</v>
      </c>
      <c r="AJ118" s="490">
        <v>0</v>
      </c>
    </row>
    <row r="119" spans="2:36" ht="25.5" x14ac:dyDescent="0.25">
      <c r="B119" s="488" t="s">
        <v>291</v>
      </c>
      <c r="C119" s="488" t="s">
        <v>81</v>
      </c>
      <c r="D119" s="488" t="s">
        <v>345</v>
      </c>
      <c r="E119" s="488" t="s">
        <v>491</v>
      </c>
      <c r="F119" s="489">
        <v>257791486</v>
      </c>
      <c r="G119" s="489">
        <v>0</v>
      </c>
      <c r="H119" s="553">
        <v>0</v>
      </c>
      <c r="I119" s="552"/>
      <c r="J119" s="489">
        <v>257791486</v>
      </c>
      <c r="K119" s="489">
        <v>252454762.66999999</v>
      </c>
      <c r="L119" s="489">
        <v>0</v>
      </c>
      <c r="M119" s="490">
        <v>0.97929829486300413</v>
      </c>
      <c r="N119" s="490">
        <v>0</v>
      </c>
      <c r="O119" s="554">
        <v>0</v>
      </c>
      <c r="P119" s="551"/>
      <c r="Q119" s="552"/>
      <c r="R119" s="488">
        <v>24</v>
      </c>
      <c r="S119" s="489">
        <v>252454762.66999999</v>
      </c>
      <c r="T119" s="489">
        <v>0</v>
      </c>
      <c r="U119" s="490">
        <v>0.97929829486300413</v>
      </c>
      <c r="V119" s="490">
        <v>0</v>
      </c>
      <c r="W119" s="490">
        <v>0</v>
      </c>
      <c r="X119" s="488">
        <v>24</v>
      </c>
      <c r="Y119" s="489">
        <v>252454762.66999999</v>
      </c>
      <c r="Z119" s="489">
        <v>0</v>
      </c>
      <c r="AB119" s="490">
        <v>0.97929829486300413</v>
      </c>
      <c r="AC119" s="490">
        <v>0</v>
      </c>
      <c r="AD119" s="490">
        <v>0</v>
      </c>
      <c r="AE119" s="488">
        <v>24</v>
      </c>
      <c r="AF119" s="489">
        <v>251921771.31</v>
      </c>
      <c r="AG119" s="489">
        <v>0</v>
      </c>
      <c r="AH119" s="490">
        <v>0.9772307659144337</v>
      </c>
      <c r="AI119" s="490">
        <v>0</v>
      </c>
      <c r="AJ119" s="490">
        <v>0</v>
      </c>
    </row>
    <row r="120" spans="2:36" ht="25.5" x14ac:dyDescent="0.25">
      <c r="B120" s="488" t="s">
        <v>1295</v>
      </c>
      <c r="C120" s="488" t="s">
        <v>1296</v>
      </c>
      <c r="D120" s="488" t="s">
        <v>345</v>
      </c>
      <c r="E120" s="488" t="s">
        <v>491</v>
      </c>
      <c r="F120" s="489">
        <v>5000000</v>
      </c>
      <c r="G120" s="489">
        <v>0</v>
      </c>
      <c r="H120" s="553">
        <v>0</v>
      </c>
      <c r="I120" s="552"/>
      <c r="J120" s="489">
        <v>5000000</v>
      </c>
      <c r="K120" s="489">
        <v>4167215.19</v>
      </c>
      <c r="L120" s="489">
        <v>0</v>
      </c>
      <c r="M120" s="490">
        <v>0.83344303799999997</v>
      </c>
      <c r="N120" s="490">
        <v>0</v>
      </c>
      <c r="O120" s="554">
        <v>0</v>
      </c>
      <c r="P120" s="551"/>
      <c r="Q120" s="552"/>
      <c r="R120" s="488">
        <v>1</v>
      </c>
      <c r="S120" s="489">
        <v>4167215.19</v>
      </c>
      <c r="T120" s="489">
        <v>0</v>
      </c>
      <c r="U120" s="490">
        <v>0.83344303799999997</v>
      </c>
      <c r="V120" s="490">
        <v>0</v>
      </c>
      <c r="W120" s="490">
        <v>0</v>
      </c>
      <c r="X120" s="488">
        <v>1</v>
      </c>
      <c r="Y120" s="489">
        <v>4167215.19</v>
      </c>
      <c r="Z120" s="489">
        <v>0</v>
      </c>
      <c r="AB120" s="490">
        <v>0.83344303799999997</v>
      </c>
      <c r="AC120" s="490">
        <v>0</v>
      </c>
      <c r="AD120" s="490">
        <v>0</v>
      </c>
      <c r="AE120" s="488">
        <v>1</v>
      </c>
      <c r="AF120" s="489">
        <v>4167215.19</v>
      </c>
      <c r="AG120" s="489">
        <v>0</v>
      </c>
      <c r="AH120" s="490">
        <v>0.83344303799999997</v>
      </c>
      <c r="AI120" s="490">
        <v>0</v>
      </c>
      <c r="AJ120" s="490">
        <v>0</v>
      </c>
    </row>
    <row r="121" spans="2:36" ht="25.5" x14ac:dyDescent="0.25">
      <c r="B121" s="488" t="s">
        <v>1343</v>
      </c>
      <c r="C121" s="488" t="s">
        <v>1344</v>
      </c>
      <c r="D121" s="488" t="s">
        <v>345</v>
      </c>
      <c r="E121" s="488" t="s">
        <v>491</v>
      </c>
      <c r="F121" s="489">
        <v>24800000</v>
      </c>
      <c r="G121" s="489">
        <v>0</v>
      </c>
      <c r="H121" s="553">
        <v>0</v>
      </c>
      <c r="I121" s="552"/>
      <c r="J121" s="489">
        <v>24800000</v>
      </c>
      <c r="K121" s="489">
        <v>22454156.460000001</v>
      </c>
      <c r="L121" s="489">
        <v>0</v>
      </c>
      <c r="M121" s="490">
        <v>0.90540953467741936</v>
      </c>
      <c r="N121" s="490">
        <v>0</v>
      </c>
      <c r="O121" s="554">
        <v>0</v>
      </c>
      <c r="P121" s="551"/>
      <c r="Q121" s="552"/>
      <c r="R121" s="488">
        <v>2</v>
      </c>
      <c r="S121" s="489">
        <v>22454156.460000001</v>
      </c>
      <c r="T121" s="489">
        <v>0</v>
      </c>
      <c r="U121" s="490">
        <v>0.90540953467741936</v>
      </c>
      <c r="V121" s="490">
        <v>0</v>
      </c>
      <c r="W121" s="490">
        <v>0</v>
      </c>
      <c r="X121" s="488">
        <v>2</v>
      </c>
      <c r="Y121" s="489">
        <v>22454156.460000001</v>
      </c>
      <c r="Z121" s="489">
        <v>0</v>
      </c>
      <c r="AB121" s="490">
        <v>0.90540953467741936</v>
      </c>
      <c r="AC121" s="490">
        <v>0</v>
      </c>
      <c r="AD121" s="490">
        <v>0</v>
      </c>
      <c r="AE121" s="488">
        <v>2</v>
      </c>
      <c r="AF121" s="489">
        <v>22454156.460000001</v>
      </c>
      <c r="AG121" s="489">
        <v>0</v>
      </c>
      <c r="AH121" s="490">
        <v>0.90540953467741936</v>
      </c>
      <c r="AI121" s="490">
        <v>0</v>
      </c>
      <c r="AJ121" s="490">
        <v>0</v>
      </c>
    </row>
    <row r="122" spans="2:36" ht="25.5" x14ac:dyDescent="0.25">
      <c r="B122" s="488" t="s">
        <v>1338</v>
      </c>
      <c r="C122" s="488" t="s">
        <v>1341</v>
      </c>
      <c r="D122" s="488" t="s">
        <v>345</v>
      </c>
      <c r="E122" s="488" t="s">
        <v>491</v>
      </c>
      <c r="F122" s="489">
        <v>23800000</v>
      </c>
      <c r="G122" s="489">
        <v>0</v>
      </c>
      <c r="H122" s="553">
        <v>0</v>
      </c>
      <c r="I122" s="552"/>
      <c r="J122" s="489">
        <v>23800000</v>
      </c>
      <c r="K122" s="489">
        <v>21501368.760000002</v>
      </c>
      <c r="L122" s="489">
        <v>0</v>
      </c>
      <c r="M122" s="490">
        <v>0.90341885546218492</v>
      </c>
      <c r="N122" s="490">
        <v>0</v>
      </c>
      <c r="O122" s="554">
        <v>0</v>
      </c>
      <c r="P122" s="551"/>
      <c r="Q122" s="552"/>
      <c r="R122" s="488">
        <v>1</v>
      </c>
      <c r="S122" s="489">
        <v>21501368.760000002</v>
      </c>
      <c r="T122" s="489">
        <v>0</v>
      </c>
      <c r="U122" s="490">
        <v>0.90341885546218492</v>
      </c>
      <c r="V122" s="490">
        <v>0</v>
      </c>
      <c r="W122" s="490">
        <v>0</v>
      </c>
      <c r="X122" s="488">
        <v>1</v>
      </c>
      <c r="Y122" s="489">
        <v>21501368.760000002</v>
      </c>
      <c r="Z122" s="489">
        <v>0</v>
      </c>
      <c r="AB122" s="490">
        <v>0.90341885546218492</v>
      </c>
      <c r="AC122" s="490">
        <v>0</v>
      </c>
      <c r="AD122" s="490">
        <v>0</v>
      </c>
      <c r="AE122" s="488">
        <v>1</v>
      </c>
      <c r="AF122" s="489">
        <v>21501368.760000002</v>
      </c>
      <c r="AG122" s="489">
        <v>0</v>
      </c>
      <c r="AH122" s="490">
        <v>0.90341885546218492</v>
      </c>
      <c r="AI122" s="490">
        <v>0</v>
      </c>
      <c r="AJ122" s="490">
        <v>0</v>
      </c>
    </row>
    <row r="123" spans="2:36" ht="51" x14ac:dyDescent="0.25">
      <c r="B123" s="488" t="s">
        <v>1339</v>
      </c>
      <c r="C123" s="488" t="s">
        <v>1540</v>
      </c>
      <c r="D123" s="488" t="s">
        <v>345</v>
      </c>
      <c r="E123" s="488" t="s">
        <v>491</v>
      </c>
      <c r="F123" s="489">
        <v>1000000</v>
      </c>
      <c r="G123" s="489">
        <v>0</v>
      </c>
      <c r="H123" s="553">
        <v>0</v>
      </c>
      <c r="I123" s="552"/>
      <c r="J123" s="489">
        <v>1000000</v>
      </c>
      <c r="K123" s="489">
        <v>952787.7</v>
      </c>
      <c r="L123" s="489">
        <v>0</v>
      </c>
      <c r="M123" s="490">
        <v>0.95278770000000002</v>
      </c>
      <c r="N123" s="490">
        <v>0</v>
      </c>
      <c r="O123" s="554">
        <v>0</v>
      </c>
      <c r="P123" s="551"/>
      <c r="Q123" s="552"/>
      <c r="R123" s="488">
        <v>1</v>
      </c>
      <c r="S123" s="489">
        <v>952787.7</v>
      </c>
      <c r="T123" s="489">
        <v>0</v>
      </c>
      <c r="U123" s="490">
        <v>0.95278770000000002</v>
      </c>
      <c r="V123" s="490">
        <v>0</v>
      </c>
      <c r="W123" s="490">
        <v>0</v>
      </c>
      <c r="X123" s="488">
        <v>1</v>
      </c>
      <c r="Y123" s="489">
        <v>952787.7</v>
      </c>
      <c r="Z123" s="489">
        <v>0</v>
      </c>
      <c r="AB123" s="490">
        <v>0.95278770000000002</v>
      </c>
      <c r="AC123" s="490">
        <v>0</v>
      </c>
      <c r="AD123" s="490">
        <v>0</v>
      </c>
      <c r="AE123" s="488">
        <v>1</v>
      </c>
      <c r="AF123" s="489">
        <v>952787.7</v>
      </c>
      <c r="AG123" s="489">
        <v>0</v>
      </c>
      <c r="AH123" s="490">
        <v>0.95278770000000002</v>
      </c>
      <c r="AI123" s="490">
        <v>0</v>
      </c>
      <c r="AJ123" s="490">
        <v>0</v>
      </c>
    </row>
    <row r="124" spans="2:36" ht="38.25" x14ac:dyDescent="0.25">
      <c r="B124" s="488" t="s">
        <v>544</v>
      </c>
      <c r="C124" s="488" t="s">
        <v>545</v>
      </c>
      <c r="D124" s="488"/>
      <c r="E124" s="488"/>
      <c r="F124" s="489">
        <v>123087758</v>
      </c>
      <c r="G124" s="489">
        <v>0</v>
      </c>
      <c r="H124" s="553">
        <v>0</v>
      </c>
      <c r="I124" s="552"/>
      <c r="J124" s="489">
        <v>123087758</v>
      </c>
      <c r="K124" s="489">
        <v>61815726.850000001</v>
      </c>
      <c r="L124" s="489">
        <v>0</v>
      </c>
      <c r="M124" s="490">
        <v>0.50220856935260771</v>
      </c>
      <c r="N124" s="490">
        <v>0</v>
      </c>
      <c r="O124" s="554">
        <v>0</v>
      </c>
      <c r="P124" s="551"/>
      <c r="Q124" s="552"/>
      <c r="R124" s="488">
        <v>3</v>
      </c>
      <c r="S124" s="489">
        <v>61815726.850000001</v>
      </c>
      <c r="T124" s="489">
        <v>0</v>
      </c>
      <c r="U124" s="490">
        <v>0.50220856935260771</v>
      </c>
      <c r="V124" s="490">
        <v>0</v>
      </c>
      <c r="W124" s="490">
        <v>0</v>
      </c>
      <c r="X124" s="488">
        <v>3</v>
      </c>
      <c r="Y124" s="489">
        <v>61815726.850000001</v>
      </c>
      <c r="Z124" s="489">
        <v>0</v>
      </c>
      <c r="AB124" s="490">
        <v>0.50220856935260771</v>
      </c>
      <c r="AC124" s="490">
        <v>0</v>
      </c>
      <c r="AD124" s="490">
        <v>0</v>
      </c>
      <c r="AE124" s="488">
        <v>3</v>
      </c>
      <c r="AF124" s="489">
        <v>61815726.850000001</v>
      </c>
      <c r="AG124" s="489">
        <v>0</v>
      </c>
      <c r="AH124" s="490">
        <v>0.50220856935260771</v>
      </c>
      <c r="AI124" s="490">
        <v>0</v>
      </c>
      <c r="AJ124" s="490">
        <v>0</v>
      </c>
    </row>
    <row r="125" spans="2:36" ht="38.25" x14ac:dyDescent="0.25">
      <c r="B125" s="488" t="s">
        <v>442</v>
      </c>
      <c r="C125" s="488" t="s">
        <v>546</v>
      </c>
      <c r="D125" s="488" t="s">
        <v>345</v>
      </c>
      <c r="E125" s="488" t="s">
        <v>491</v>
      </c>
      <c r="F125" s="489">
        <v>123087758</v>
      </c>
      <c r="G125" s="489">
        <v>0</v>
      </c>
      <c r="H125" s="553">
        <v>0</v>
      </c>
      <c r="I125" s="552"/>
      <c r="J125" s="489">
        <v>123087758</v>
      </c>
      <c r="K125" s="489">
        <v>61815726.850000001</v>
      </c>
      <c r="L125" s="489">
        <v>0</v>
      </c>
      <c r="M125" s="490">
        <v>0.50220856935260771</v>
      </c>
      <c r="N125" s="490">
        <v>0</v>
      </c>
      <c r="O125" s="554">
        <v>0</v>
      </c>
      <c r="P125" s="551"/>
      <c r="Q125" s="552"/>
      <c r="R125" s="488">
        <v>3</v>
      </c>
      <c r="S125" s="489">
        <v>61815726.850000001</v>
      </c>
      <c r="T125" s="489">
        <v>0</v>
      </c>
      <c r="U125" s="490">
        <v>0.50220856935260771</v>
      </c>
      <c r="V125" s="490">
        <v>0</v>
      </c>
      <c r="W125" s="490">
        <v>0</v>
      </c>
      <c r="X125" s="488">
        <v>3</v>
      </c>
      <c r="Y125" s="489">
        <v>61815726.850000001</v>
      </c>
      <c r="Z125" s="489">
        <v>0</v>
      </c>
      <c r="AB125" s="490">
        <v>0.50220856935260771</v>
      </c>
      <c r="AC125" s="490">
        <v>0</v>
      </c>
      <c r="AD125" s="490">
        <v>0</v>
      </c>
      <c r="AE125" s="488">
        <v>3</v>
      </c>
      <c r="AF125" s="489">
        <v>61815726.850000001</v>
      </c>
      <c r="AG125" s="489">
        <v>0</v>
      </c>
      <c r="AH125" s="490">
        <v>0.50220856935260771</v>
      </c>
      <c r="AI125" s="490">
        <v>0</v>
      </c>
      <c r="AJ125" s="490">
        <v>0</v>
      </c>
    </row>
    <row r="126" spans="2:36" ht="25.5" x14ac:dyDescent="0.25">
      <c r="B126" s="488" t="s">
        <v>292</v>
      </c>
      <c r="C126" s="488" t="s">
        <v>196</v>
      </c>
      <c r="D126" s="488"/>
      <c r="E126" s="488" t="s">
        <v>491</v>
      </c>
      <c r="F126" s="489">
        <v>0</v>
      </c>
      <c r="G126" s="489">
        <v>0</v>
      </c>
      <c r="H126" s="553">
        <v>0</v>
      </c>
      <c r="I126" s="552"/>
      <c r="J126" s="489">
        <v>0</v>
      </c>
      <c r="K126" s="489">
        <v>0</v>
      </c>
      <c r="L126" s="489">
        <v>0</v>
      </c>
      <c r="M126" s="490">
        <v>0</v>
      </c>
      <c r="N126" s="490">
        <v>0</v>
      </c>
      <c r="O126" s="554">
        <v>0</v>
      </c>
      <c r="P126" s="551"/>
      <c r="Q126" s="552"/>
      <c r="R126" s="488">
        <v>0</v>
      </c>
      <c r="S126" s="489">
        <v>0</v>
      </c>
      <c r="T126" s="489">
        <v>0</v>
      </c>
      <c r="U126" s="490">
        <v>0</v>
      </c>
      <c r="V126" s="490">
        <v>0</v>
      </c>
      <c r="W126" s="490">
        <v>0</v>
      </c>
      <c r="X126" s="488">
        <v>0</v>
      </c>
      <c r="Y126" s="489">
        <v>0</v>
      </c>
      <c r="Z126" s="489">
        <v>0</v>
      </c>
      <c r="AB126" s="490">
        <v>0</v>
      </c>
      <c r="AC126" s="490">
        <v>0</v>
      </c>
      <c r="AD126" s="490">
        <v>0</v>
      </c>
      <c r="AE126" s="488">
        <v>0</v>
      </c>
      <c r="AF126" s="489">
        <v>0</v>
      </c>
      <c r="AG126" s="489">
        <v>0</v>
      </c>
      <c r="AH126" s="490">
        <v>0</v>
      </c>
      <c r="AI126" s="490">
        <v>0</v>
      </c>
      <c r="AJ126" s="490">
        <v>0</v>
      </c>
    </row>
    <row r="127" spans="2:36" ht="25.5" x14ac:dyDescent="0.25">
      <c r="B127" s="488" t="s">
        <v>293</v>
      </c>
      <c r="C127" s="488" t="s">
        <v>197</v>
      </c>
      <c r="D127" s="488" t="s">
        <v>345</v>
      </c>
      <c r="E127" s="488" t="s">
        <v>491</v>
      </c>
      <c r="F127" s="489">
        <v>123087758</v>
      </c>
      <c r="G127" s="489">
        <v>0</v>
      </c>
      <c r="H127" s="553">
        <v>0</v>
      </c>
      <c r="I127" s="552"/>
      <c r="J127" s="489">
        <v>123087758</v>
      </c>
      <c r="K127" s="489">
        <v>61815726.850000001</v>
      </c>
      <c r="L127" s="489">
        <v>0</v>
      </c>
      <c r="M127" s="490">
        <v>0.50220856935260771</v>
      </c>
      <c r="N127" s="490">
        <v>0</v>
      </c>
      <c r="O127" s="554">
        <v>0</v>
      </c>
      <c r="P127" s="551"/>
      <c r="Q127" s="552"/>
      <c r="R127" s="488">
        <v>3</v>
      </c>
      <c r="S127" s="489">
        <v>61815726.850000001</v>
      </c>
      <c r="T127" s="489">
        <v>0</v>
      </c>
      <c r="U127" s="490">
        <v>0.50220856935260771</v>
      </c>
      <c r="V127" s="490">
        <v>0</v>
      </c>
      <c r="W127" s="490">
        <v>0</v>
      </c>
      <c r="X127" s="488">
        <v>3</v>
      </c>
      <c r="Y127" s="489">
        <v>61815726.850000001</v>
      </c>
      <c r="Z127" s="489">
        <v>0</v>
      </c>
      <c r="AB127" s="490">
        <v>0.50220856935260771</v>
      </c>
      <c r="AC127" s="490">
        <v>0</v>
      </c>
      <c r="AD127" s="490">
        <v>0</v>
      </c>
      <c r="AE127" s="488">
        <v>3</v>
      </c>
      <c r="AF127" s="489">
        <v>61815726.850000001</v>
      </c>
      <c r="AG127" s="489">
        <v>0</v>
      </c>
      <c r="AH127" s="490">
        <v>0.50220856935260771</v>
      </c>
      <c r="AI127" s="490">
        <v>0</v>
      </c>
      <c r="AJ127" s="490">
        <v>0</v>
      </c>
    </row>
    <row r="128" spans="2:36" ht="38.25" x14ac:dyDescent="0.25">
      <c r="B128" s="488" t="s">
        <v>547</v>
      </c>
      <c r="C128" s="488" t="s">
        <v>548</v>
      </c>
      <c r="D128" s="488"/>
      <c r="E128" s="488"/>
      <c r="F128" s="489">
        <v>235477563</v>
      </c>
      <c r="G128" s="489">
        <v>0</v>
      </c>
      <c r="H128" s="553">
        <v>0</v>
      </c>
      <c r="I128" s="552"/>
      <c r="J128" s="489">
        <v>235477563</v>
      </c>
      <c r="K128" s="489">
        <v>229698412.16999999</v>
      </c>
      <c r="L128" s="489">
        <v>0</v>
      </c>
      <c r="M128" s="490">
        <v>0.97545774316510991</v>
      </c>
      <c r="N128" s="490">
        <v>0</v>
      </c>
      <c r="O128" s="554">
        <v>0</v>
      </c>
      <c r="P128" s="551"/>
      <c r="Q128" s="552"/>
      <c r="R128" s="488">
        <v>37</v>
      </c>
      <c r="S128" s="489">
        <v>229698412.16999999</v>
      </c>
      <c r="T128" s="489">
        <v>0</v>
      </c>
      <c r="U128" s="490">
        <v>0.97545774316510991</v>
      </c>
      <c r="V128" s="490">
        <v>0</v>
      </c>
      <c r="W128" s="490">
        <v>0</v>
      </c>
      <c r="X128" s="488">
        <v>37</v>
      </c>
      <c r="Y128" s="489">
        <v>229698412.16999999</v>
      </c>
      <c r="Z128" s="489">
        <v>0</v>
      </c>
      <c r="AB128" s="490">
        <v>0.97545774316510991</v>
      </c>
      <c r="AC128" s="490">
        <v>0</v>
      </c>
      <c r="AD128" s="490">
        <v>0</v>
      </c>
      <c r="AE128" s="488">
        <v>37</v>
      </c>
      <c r="AF128" s="489">
        <v>229360295.77000001</v>
      </c>
      <c r="AG128" s="489">
        <v>0</v>
      </c>
      <c r="AH128" s="490">
        <v>0.97402186793482315</v>
      </c>
      <c r="AI128" s="490">
        <v>0</v>
      </c>
      <c r="AJ128" s="490">
        <v>0</v>
      </c>
    </row>
    <row r="129" spans="2:36" ht="25.5" x14ac:dyDescent="0.25">
      <c r="B129" s="488" t="s">
        <v>294</v>
      </c>
      <c r="C129" s="488" t="s">
        <v>85</v>
      </c>
      <c r="D129" s="488" t="s">
        <v>344</v>
      </c>
      <c r="E129" s="488" t="s">
        <v>491</v>
      </c>
      <c r="F129" s="489">
        <v>235477563</v>
      </c>
      <c r="G129" s="489">
        <v>0</v>
      </c>
      <c r="H129" s="553">
        <v>0</v>
      </c>
      <c r="I129" s="552"/>
      <c r="J129" s="489">
        <v>235477563</v>
      </c>
      <c r="K129" s="489">
        <v>229698412.16999999</v>
      </c>
      <c r="L129" s="489">
        <v>0</v>
      </c>
      <c r="M129" s="490">
        <v>0.97545774316510991</v>
      </c>
      <c r="N129" s="490">
        <v>0</v>
      </c>
      <c r="O129" s="554">
        <v>0</v>
      </c>
      <c r="P129" s="551"/>
      <c r="Q129" s="552"/>
      <c r="R129" s="488">
        <v>37</v>
      </c>
      <c r="S129" s="489">
        <v>229698412.16999999</v>
      </c>
      <c r="T129" s="489">
        <v>0</v>
      </c>
      <c r="U129" s="490">
        <v>0.97545774316510991</v>
      </c>
      <c r="V129" s="490">
        <v>0</v>
      </c>
      <c r="W129" s="490">
        <v>0</v>
      </c>
      <c r="X129" s="488">
        <v>37</v>
      </c>
      <c r="Y129" s="489">
        <v>229698412.16999999</v>
      </c>
      <c r="Z129" s="489">
        <v>0</v>
      </c>
      <c r="AB129" s="490">
        <v>0.97545774316510991</v>
      </c>
      <c r="AC129" s="490">
        <v>0</v>
      </c>
      <c r="AD129" s="490">
        <v>0</v>
      </c>
      <c r="AE129" s="488">
        <v>37</v>
      </c>
      <c r="AF129" s="489">
        <v>229360295.77000001</v>
      </c>
      <c r="AG129" s="489">
        <v>0</v>
      </c>
      <c r="AH129" s="490">
        <v>0.97402186793482315</v>
      </c>
      <c r="AI129" s="490">
        <v>0</v>
      </c>
      <c r="AJ129" s="490">
        <v>0</v>
      </c>
    </row>
    <row r="130" spans="2:36" x14ac:dyDescent="0.25">
      <c r="B130" s="485" t="s">
        <v>295</v>
      </c>
      <c r="C130" s="485" t="s">
        <v>549</v>
      </c>
      <c r="D130" s="485"/>
      <c r="E130" s="485"/>
      <c r="F130" s="486">
        <v>159628901</v>
      </c>
      <c r="G130" s="486">
        <v>11527850</v>
      </c>
      <c r="H130" s="555">
        <v>0</v>
      </c>
      <c r="I130" s="552"/>
      <c r="J130" s="486">
        <v>159628901</v>
      </c>
      <c r="K130" s="486">
        <v>173380708.86000001</v>
      </c>
      <c r="L130" s="486">
        <v>11270840.49</v>
      </c>
      <c r="M130" s="487">
        <v>1.0861486095177715</v>
      </c>
      <c r="N130" s="487">
        <v>0</v>
      </c>
      <c r="O130" s="550">
        <v>0</v>
      </c>
      <c r="P130" s="551"/>
      <c r="Q130" s="552"/>
      <c r="R130" s="485">
        <v>7</v>
      </c>
      <c r="S130" s="486">
        <v>173380708.86000001</v>
      </c>
      <c r="T130" s="486">
        <v>11270840.49</v>
      </c>
      <c r="U130" s="487">
        <v>1.0861486095177715</v>
      </c>
      <c r="V130" s="487">
        <v>0</v>
      </c>
      <c r="W130" s="487">
        <v>0</v>
      </c>
      <c r="X130" s="485">
        <v>7</v>
      </c>
      <c r="Y130" s="486">
        <v>173380708.86000001</v>
      </c>
      <c r="Z130" s="486">
        <v>11270840.49</v>
      </c>
      <c r="AB130" s="487">
        <v>1.0861486095177715</v>
      </c>
      <c r="AC130" s="487">
        <v>0</v>
      </c>
      <c r="AD130" s="487">
        <v>0</v>
      </c>
      <c r="AE130" s="485">
        <v>7</v>
      </c>
      <c r="AF130" s="486">
        <v>173380708.86000001</v>
      </c>
      <c r="AG130" s="486">
        <v>11270840.49</v>
      </c>
      <c r="AH130" s="487">
        <v>1.0861486095177715</v>
      </c>
      <c r="AI130" s="487">
        <v>0</v>
      </c>
      <c r="AJ130" s="487">
        <v>0</v>
      </c>
    </row>
    <row r="131" spans="2:36" ht="76.5" x14ac:dyDescent="0.25">
      <c r="B131" s="488" t="s">
        <v>550</v>
      </c>
      <c r="C131" s="488" t="s">
        <v>551</v>
      </c>
      <c r="D131" s="488"/>
      <c r="E131" s="488"/>
      <c r="F131" s="489">
        <v>100768553</v>
      </c>
      <c r="G131" s="489">
        <v>11527850</v>
      </c>
      <c r="H131" s="553">
        <v>0</v>
      </c>
      <c r="I131" s="552"/>
      <c r="J131" s="489">
        <v>100768553</v>
      </c>
      <c r="K131" s="489">
        <v>100492132.20999999</v>
      </c>
      <c r="L131" s="489">
        <v>11270840.49</v>
      </c>
      <c r="M131" s="490">
        <v>0.99725687447352751</v>
      </c>
      <c r="N131" s="490">
        <v>0</v>
      </c>
      <c r="O131" s="554">
        <v>0</v>
      </c>
      <c r="P131" s="551"/>
      <c r="Q131" s="552"/>
      <c r="R131" s="488">
        <v>3</v>
      </c>
      <c r="S131" s="489">
        <v>100492132.20999999</v>
      </c>
      <c r="T131" s="489">
        <v>11270840.49</v>
      </c>
      <c r="U131" s="490">
        <v>0.99725687447352751</v>
      </c>
      <c r="V131" s="490">
        <v>0</v>
      </c>
      <c r="W131" s="490">
        <v>0</v>
      </c>
      <c r="X131" s="488">
        <v>3</v>
      </c>
      <c r="Y131" s="489">
        <v>100492132.20999999</v>
      </c>
      <c r="Z131" s="489">
        <v>11270840.49</v>
      </c>
      <c r="AB131" s="490">
        <v>0.99725687447352751</v>
      </c>
      <c r="AC131" s="490">
        <v>0</v>
      </c>
      <c r="AD131" s="490">
        <v>0</v>
      </c>
      <c r="AE131" s="488">
        <v>3</v>
      </c>
      <c r="AF131" s="489">
        <v>100492132.20999999</v>
      </c>
      <c r="AG131" s="489">
        <v>11270840.49</v>
      </c>
      <c r="AH131" s="490">
        <v>0.99725687447352751</v>
      </c>
      <c r="AI131" s="490">
        <v>0</v>
      </c>
      <c r="AJ131" s="490">
        <v>0</v>
      </c>
    </row>
    <row r="132" spans="2:36" ht="51" x14ac:dyDescent="0.25">
      <c r="B132" s="488" t="s">
        <v>296</v>
      </c>
      <c r="C132" s="488" t="s">
        <v>1547</v>
      </c>
      <c r="D132" s="488" t="s">
        <v>346</v>
      </c>
      <c r="E132" s="488" t="s">
        <v>553</v>
      </c>
      <c r="F132" s="489">
        <v>98866286</v>
      </c>
      <c r="G132" s="489">
        <v>11527850</v>
      </c>
      <c r="H132" s="553">
        <v>0</v>
      </c>
      <c r="I132" s="552"/>
      <c r="J132" s="489">
        <v>98866286</v>
      </c>
      <c r="K132" s="489">
        <v>98604641.989999995</v>
      </c>
      <c r="L132" s="489">
        <v>11270840.49</v>
      </c>
      <c r="M132" s="490">
        <v>0.99735355680297322</v>
      </c>
      <c r="N132" s="490">
        <v>0</v>
      </c>
      <c r="O132" s="554">
        <v>0</v>
      </c>
      <c r="P132" s="551"/>
      <c r="Q132" s="552"/>
      <c r="R132" s="488">
        <v>1</v>
      </c>
      <c r="S132" s="489">
        <v>98604641.989999995</v>
      </c>
      <c r="T132" s="489">
        <v>11270840.49</v>
      </c>
      <c r="U132" s="490">
        <v>0.99735355680297322</v>
      </c>
      <c r="V132" s="490">
        <v>0</v>
      </c>
      <c r="W132" s="490">
        <v>0</v>
      </c>
      <c r="X132" s="488">
        <v>1</v>
      </c>
      <c r="Y132" s="489">
        <v>98604641.989999995</v>
      </c>
      <c r="Z132" s="489">
        <v>11270840.49</v>
      </c>
      <c r="AB132" s="490">
        <v>0.99735355680297322</v>
      </c>
      <c r="AC132" s="490">
        <v>0</v>
      </c>
      <c r="AD132" s="490">
        <v>0</v>
      </c>
      <c r="AE132" s="488">
        <v>1</v>
      </c>
      <c r="AF132" s="489">
        <v>98604641.989999995</v>
      </c>
      <c r="AG132" s="489">
        <v>11270840.49</v>
      </c>
      <c r="AH132" s="490">
        <v>0.99735355680297322</v>
      </c>
      <c r="AI132" s="490">
        <v>0</v>
      </c>
      <c r="AJ132" s="490">
        <v>0</v>
      </c>
    </row>
    <row r="133" spans="2:36" ht="38.25" x14ac:dyDescent="0.25">
      <c r="B133" s="488" t="s">
        <v>443</v>
      </c>
      <c r="C133" s="488" t="s">
        <v>554</v>
      </c>
      <c r="D133" s="488" t="s">
        <v>346</v>
      </c>
      <c r="E133" s="488" t="s">
        <v>553</v>
      </c>
      <c r="F133" s="489">
        <v>1902267</v>
      </c>
      <c r="G133" s="489">
        <v>0</v>
      </c>
      <c r="H133" s="553">
        <v>0</v>
      </c>
      <c r="I133" s="552"/>
      <c r="J133" s="489">
        <v>1902267</v>
      </c>
      <c r="K133" s="489">
        <v>1887490.22</v>
      </c>
      <c r="L133" s="489">
        <v>0</v>
      </c>
      <c r="M133" s="490">
        <v>0.99223201580009535</v>
      </c>
      <c r="N133" s="490">
        <v>0</v>
      </c>
      <c r="O133" s="554">
        <v>0</v>
      </c>
      <c r="P133" s="551"/>
      <c r="Q133" s="552"/>
      <c r="R133" s="488">
        <v>2</v>
      </c>
      <c r="S133" s="489">
        <v>1887490.22</v>
      </c>
      <c r="T133" s="489">
        <v>0</v>
      </c>
      <c r="U133" s="490">
        <v>0.99223201580009535</v>
      </c>
      <c r="V133" s="490">
        <v>0</v>
      </c>
      <c r="W133" s="490">
        <v>0</v>
      </c>
      <c r="X133" s="488">
        <v>2</v>
      </c>
      <c r="Y133" s="489">
        <v>1887490.22</v>
      </c>
      <c r="Z133" s="489">
        <v>0</v>
      </c>
      <c r="AB133" s="490">
        <v>0.99223201580009535</v>
      </c>
      <c r="AC133" s="490">
        <v>0</v>
      </c>
      <c r="AD133" s="490">
        <v>0</v>
      </c>
      <c r="AE133" s="488">
        <v>2</v>
      </c>
      <c r="AF133" s="489">
        <v>1887490.22</v>
      </c>
      <c r="AG133" s="489">
        <v>0</v>
      </c>
      <c r="AH133" s="490">
        <v>0.99223201580009535</v>
      </c>
      <c r="AI133" s="490">
        <v>0</v>
      </c>
      <c r="AJ133" s="490">
        <v>0</v>
      </c>
    </row>
    <row r="134" spans="2:36" ht="25.5" x14ac:dyDescent="0.25">
      <c r="B134" s="488" t="s">
        <v>297</v>
      </c>
      <c r="C134" s="488" t="s">
        <v>198</v>
      </c>
      <c r="D134" s="488" t="s">
        <v>346</v>
      </c>
      <c r="E134" s="488" t="s">
        <v>553</v>
      </c>
      <c r="F134" s="489">
        <v>711612</v>
      </c>
      <c r="G134" s="489">
        <v>0</v>
      </c>
      <c r="H134" s="553">
        <v>0</v>
      </c>
      <c r="I134" s="552"/>
      <c r="J134" s="489">
        <v>711612</v>
      </c>
      <c r="K134" s="489">
        <v>703641.07</v>
      </c>
      <c r="L134" s="489">
        <v>0</v>
      </c>
      <c r="M134" s="490">
        <v>0.98879876955419521</v>
      </c>
      <c r="N134" s="490">
        <v>0</v>
      </c>
      <c r="O134" s="554">
        <v>0</v>
      </c>
      <c r="P134" s="551"/>
      <c r="Q134" s="552"/>
      <c r="R134" s="488">
        <v>1</v>
      </c>
      <c r="S134" s="489">
        <v>703641.07</v>
      </c>
      <c r="T134" s="489">
        <v>0</v>
      </c>
      <c r="U134" s="490">
        <v>0.98879876955419521</v>
      </c>
      <c r="V134" s="490">
        <v>0</v>
      </c>
      <c r="W134" s="490">
        <v>0</v>
      </c>
      <c r="X134" s="488">
        <v>1</v>
      </c>
      <c r="Y134" s="489">
        <v>703641.07</v>
      </c>
      <c r="Z134" s="489">
        <v>0</v>
      </c>
      <c r="AB134" s="490">
        <v>0.98879876955419521</v>
      </c>
      <c r="AC134" s="490">
        <v>0</v>
      </c>
      <c r="AD134" s="490">
        <v>0</v>
      </c>
      <c r="AE134" s="488">
        <v>1</v>
      </c>
      <c r="AF134" s="489">
        <v>703641.07</v>
      </c>
      <c r="AG134" s="489">
        <v>0</v>
      </c>
      <c r="AH134" s="490">
        <v>0.98879876955419521</v>
      </c>
      <c r="AI134" s="490">
        <v>0</v>
      </c>
      <c r="AJ134" s="490">
        <v>0</v>
      </c>
    </row>
    <row r="135" spans="2:36" ht="25.5" x14ac:dyDescent="0.25">
      <c r="B135" s="488" t="s">
        <v>298</v>
      </c>
      <c r="C135" s="488" t="s">
        <v>199</v>
      </c>
      <c r="D135" s="488" t="s">
        <v>346</v>
      </c>
      <c r="E135" s="488" t="s">
        <v>553</v>
      </c>
      <c r="F135" s="489">
        <v>1190655</v>
      </c>
      <c r="G135" s="489">
        <v>0</v>
      </c>
      <c r="H135" s="553">
        <v>0</v>
      </c>
      <c r="I135" s="552"/>
      <c r="J135" s="489">
        <v>1190655</v>
      </c>
      <c r="K135" s="489">
        <v>1183849.1499999999</v>
      </c>
      <c r="L135" s="489">
        <v>0</v>
      </c>
      <c r="M135" s="490">
        <v>0.99428394455152835</v>
      </c>
      <c r="N135" s="490">
        <v>0</v>
      </c>
      <c r="O135" s="554">
        <v>0</v>
      </c>
      <c r="P135" s="551"/>
      <c r="Q135" s="552"/>
      <c r="R135" s="488">
        <v>1</v>
      </c>
      <c r="S135" s="489">
        <v>1183849.1499999999</v>
      </c>
      <c r="T135" s="489">
        <v>0</v>
      </c>
      <c r="U135" s="490">
        <v>0.99428394455152835</v>
      </c>
      <c r="V135" s="490">
        <v>0</v>
      </c>
      <c r="W135" s="490">
        <v>0</v>
      </c>
      <c r="X135" s="488">
        <v>1</v>
      </c>
      <c r="Y135" s="489">
        <v>1183849.1499999999</v>
      </c>
      <c r="Z135" s="489">
        <v>0</v>
      </c>
      <c r="AB135" s="490">
        <v>0.99428394455152835</v>
      </c>
      <c r="AC135" s="490">
        <v>0</v>
      </c>
      <c r="AD135" s="490">
        <v>0</v>
      </c>
      <c r="AE135" s="488">
        <v>1</v>
      </c>
      <c r="AF135" s="489">
        <v>1183849.1499999999</v>
      </c>
      <c r="AG135" s="489">
        <v>0</v>
      </c>
      <c r="AH135" s="490">
        <v>0.99428394455152835</v>
      </c>
      <c r="AI135" s="490">
        <v>0</v>
      </c>
      <c r="AJ135" s="490">
        <v>0</v>
      </c>
    </row>
    <row r="136" spans="2:36" ht="76.5" x14ac:dyDescent="0.25">
      <c r="B136" s="488" t="s">
        <v>555</v>
      </c>
      <c r="C136" s="488" t="s">
        <v>556</v>
      </c>
      <c r="D136" s="488"/>
      <c r="E136" s="488"/>
      <c r="F136" s="489">
        <v>124839295</v>
      </c>
      <c r="G136" s="489">
        <v>0</v>
      </c>
      <c r="H136" s="553">
        <v>0</v>
      </c>
      <c r="I136" s="552"/>
      <c r="J136" s="489">
        <v>124839295</v>
      </c>
      <c r="K136" s="489">
        <v>65778420.219999999</v>
      </c>
      <c r="L136" s="489">
        <v>0</v>
      </c>
      <c r="M136" s="490">
        <v>0.52690477161057336</v>
      </c>
      <c r="N136" s="490">
        <v>0</v>
      </c>
      <c r="O136" s="554">
        <v>0</v>
      </c>
      <c r="P136" s="551"/>
      <c r="Q136" s="552"/>
      <c r="R136" s="488">
        <v>2</v>
      </c>
      <c r="S136" s="489">
        <v>65778420.219999999</v>
      </c>
      <c r="T136" s="489">
        <v>0</v>
      </c>
      <c r="U136" s="490">
        <v>0.52690477161057336</v>
      </c>
      <c r="V136" s="490">
        <v>0</v>
      </c>
      <c r="W136" s="490">
        <v>0</v>
      </c>
      <c r="X136" s="488">
        <v>2</v>
      </c>
      <c r="Y136" s="489">
        <v>65778420.219999999</v>
      </c>
      <c r="Z136" s="489">
        <v>0</v>
      </c>
      <c r="AB136" s="490">
        <v>0.52690477161057336</v>
      </c>
      <c r="AC136" s="490">
        <v>0</v>
      </c>
      <c r="AD136" s="490">
        <v>0</v>
      </c>
      <c r="AE136" s="488">
        <v>2</v>
      </c>
      <c r="AF136" s="489">
        <v>65778420.219999999</v>
      </c>
      <c r="AG136" s="489">
        <v>0</v>
      </c>
      <c r="AH136" s="490">
        <v>0.52690477161057336</v>
      </c>
      <c r="AI136" s="490">
        <v>0</v>
      </c>
      <c r="AJ136" s="490">
        <v>0</v>
      </c>
    </row>
    <row r="137" spans="2:36" ht="38.25" x14ac:dyDescent="0.25">
      <c r="B137" s="488" t="s">
        <v>444</v>
      </c>
      <c r="C137" s="488" t="s">
        <v>557</v>
      </c>
      <c r="D137" s="488" t="s">
        <v>1303</v>
      </c>
      <c r="E137" s="488" t="s">
        <v>553</v>
      </c>
      <c r="F137" s="489">
        <v>29010639</v>
      </c>
      <c r="G137" s="489">
        <v>0</v>
      </c>
      <c r="H137" s="553">
        <v>0</v>
      </c>
      <c r="I137" s="552"/>
      <c r="J137" s="489">
        <v>29010639</v>
      </c>
      <c r="K137" s="489">
        <v>65778420.219999999</v>
      </c>
      <c r="L137" s="489">
        <v>0</v>
      </c>
      <c r="M137" s="490">
        <v>2.267389567668606</v>
      </c>
      <c r="N137" s="490">
        <v>0</v>
      </c>
      <c r="O137" s="554">
        <v>0</v>
      </c>
      <c r="P137" s="551"/>
      <c r="Q137" s="552"/>
      <c r="R137" s="488">
        <v>2</v>
      </c>
      <c r="S137" s="489">
        <v>65778420.219999999</v>
      </c>
      <c r="T137" s="489">
        <v>0</v>
      </c>
      <c r="U137" s="490">
        <v>2.267389567668606</v>
      </c>
      <c r="V137" s="490">
        <v>0</v>
      </c>
      <c r="W137" s="490">
        <v>0</v>
      </c>
      <c r="X137" s="488">
        <v>2</v>
      </c>
      <c r="Y137" s="489">
        <v>65778420.219999999</v>
      </c>
      <c r="Z137" s="489">
        <v>0</v>
      </c>
      <c r="AB137" s="490">
        <v>2.267389567668606</v>
      </c>
      <c r="AC137" s="490">
        <v>0</v>
      </c>
      <c r="AD137" s="490">
        <v>0</v>
      </c>
      <c r="AE137" s="488">
        <v>2</v>
      </c>
      <c r="AF137" s="489">
        <v>65778420.219999999</v>
      </c>
      <c r="AG137" s="489">
        <v>0</v>
      </c>
      <c r="AH137" s="490">
        <v>2.267389567668606</v>
      </c>
      <c r="AI137" s="490">
        <v>0</v>
      </c>
      <c r="AJ137" s="490">
        <v>0</v>
      </c>
    </row>
    <row r="138" spans="2:36" ht="38.25" x14ac:dyDescent="0.25">
      <c r="B138" s="488" t="s">
        <v>444</v>
      </c>
      <c r="C138" s="488" t="s">
        <v>557</v>
      </c>
      <c r="D138" s="488" t="s">
        <v>558</v>
      </c>
      <c r="E138" s="488" t="s">
        <v>553</v>
      </c>
      <c r="F138" s="489">
        <v>66818017</v>
      </c>
      <c r="G138" s="489">
        <v>0</v>
      </c>
      <c r="H138" s="553">
        <v>0</v>
      </c>
      <c r="I138" s="552"/>
      <c r="J138" s="489">
        <v>66818017</v>
      </c>
      <c r="K138" s="489">
        <v>65778420.219999999</v>
      </c>
      <c r="L138" s="489">
        <v>0</v>
      </c>
      <c r="M138" s="490">
        <v>0.98444137035674073</v>
      </c>
      <c r="N138" s="490">
        <v>0</v>
      </c>
      <c r="O138" s="554">
        <v>0</v>
      </c>
      <c r="P138" s="551"/>
      <c r="Q138" s="552"/>
      <c r="R138" s="488">
        <v>2</v>
      </c>
      <c r="S138" s="489">
        <v>65778420.219999999</v>
      </c>
      <c r="T138" s="489">
        <v>0</v>
      </c>
      <c r="U138" s="490">
        <v>0.98444137035674073</v>
      </c>
      <c r="V138" s="490">
        <v>0</v>
      </c>
      <c r="W138" s="490">
        <v>0</v>
      </c>
      <c r="X138" s="488">
        <v>2</v>
      </c>
      <c r="Y138" s="489">
        <v>65778420.219999999</v>
      </c>
      <c r="Z138" s="489">
        <v>0</v>
      </c>
      <c r="AB138" s="490">
        <v>0.98444137035674073</v>
      </c>
      <c r="AC138" s="490">
        <v>0</v>
      </c>
      <c r="AD138" s="490">
        <v>0</v>
      </c>
      <c r="AE138" s="488">
        <v>2</v>
      </c>
      <c r="AF138" s="489">
        <v>65778420.219999999</v>
      </c>
      <c r="AG138" s="489">
        <v>0</v>
      </c>
      <c r="AH138" s="490">
        <v>0.98444137035674073</v>
      </c>
      <c r="AI138" s="490">
        <v>0</v>
      </c>
      <c r="AJ138" s="490">
        <v>0</v>
      </c>
    </row>
    <row r="139" spans="2:36" ht="38.25" x14ac:dyDescent="0.25">
      <c r="B139" s="488" t="s">
        <v>444</v>
      </c>
      <c r="C139" s="488" t="s">
        <v>557</v>
      </c>
      <c r="D139" s="488" t="s">
        <v>1304</v>
      </c>
      <c r="E139" s="488" t="s">
        <v>553</v>
      </c>
      <c r="F139" s="489">
        <v>29010639</v>
      </c>
      <c r="G139" s="489">
        <v>0</v>
      </c>
      <c r="H139" s="553">
        <v>0</v>
      </c>
      <c r="I139" s="552"/>
      <c r="J139" s="489">
        <v>29010639</v>
      </c>
      <c r="K139" s="489">
        <v>65778420.219999999</v>
      </c>
      <c r="L139" s="489">
        <v>0</v>
      </c>
      <c r="M139" s="490">
        <v>2.267389567668606</v>
      </c>
      <c r="N139" s="490">
        <v>0</v>
      </c>
      <c r="O139" s="554">
        <v>0</v>
      </c>
      <c r="P139" s="551"/>
      <c r="Q139" s="552"/>
      <c r="R139" s="488">
        <v>2</v>
      </c>
      <c r="S139" s="489">
        <v>65778420.219999999</v>
      </c>
      <c r="T139" s="489">
        <v>0</v>
      </c>
      <c r="U139" s="490">
        <v>2.267389567668606</v>
      </c>
      <c r="V139" s="490">
        <v>0</v>
      </c>
      <c r="W139" s="490">
        <v>0</v>
      </c>
      <c r="X139" s="488">
        <v>2</v>
      </c>
      <c r="Y139" s="489">
        <v>65778420.219999999</v>
      </c>
      <c r="Z139" s="489">
        <v>0</v>
      </c>
      <c r="AB139" s="490">
        <v>2.267389567668606</v>
      </c>
      <c r="AC139" s="490">
        <v>0</v>
      </c>
      <c r="AD139" s="490">
        <v>0</v>
      </c>
      <c r="AE139" s="488">
        <v>2</v>
      </c>
      <c r="AF139" s="489">
        <v>65778420.219999999</v>
      </c>
      <c r="AG139" s="489">
        <v>0</v>
      </c>
      <c r="AH139" s="490">
        <v>2.267389567668606</v>
      </c>
      <c r="AI139" s="490">
        <v>0</v>
      </c>
      <c r="AJ139" s="490">
        <v>0</v>
      </c>
    </row>
    <row r="140" spans="2:36" ht="25.5" x14ac:dyDescent="0.25">
      <c r="B140" s="488" t="s">
        <v>299</v>
      </c>
      <c r="C140" s="488" t="s">
        <v>559</v>
      </c>
      <c r="D140" s="488" t="s">
        <v>346</v>
      </c>
      <c r="E140" s="488" t="s">
        <v>553</v>
      </c>
      <c r="F140" s="489">
        <v>16606100</v>
      </c>
      <c r="G140" s="489">
        <v>0</v>
      </c>
      <c r="H140" s="553">
        <v>0</v>
      </c>
      <c r="I140" s="552"/>
      <c r="J140" s="489">
        <v>16606100</v>
      </c>
      <c r="K140" s="489">
        <v>15996371.41</v>
      </c>
      <c r="L140" s="489">
        <v>0</v>
      </c>
      <c r="M140" s="490">
        <v>0.96328285449322837</v>
      </c>
      <c r="N140" s="490">
        <v>0</v>
      </c>
      <c r="O140" s="554">
        <v>0</v>
      </c>
      <c r="P140" s="551"/>
      <c r="Q140" s="552"/>
      <c r="R140" s="488">
        <v>0</v>
      </c>
      <c r="S140" s="489">
        <v>15996371.41</v>
      </c>
      <c r="T140" s="489">
        <v>0</v>
      </c>
      <c r="U140" s="490">
        <v>0.96328285449322837</v>
      </c>
      <c r="V140" s="490">
        <v>0</v>
      </c>
      <c r="W140" s="490">
        <v>0</v>
      </c>
      <c r="X140" s="488">
        <v>0</v>
      </c>
      <c r="Y140" s="489">
        <v>15996371.41</v>
      </c>
      <c r="Z140" s="489">
        <v>0</v>
      </c>
      <c r="AB140" s="490">
        <v>0.96328285449322837</v>
      </c>
      <c r="AC140" s="490">
        <v>0</v>
      </c>
      <c r="AD140" s="490">
        <v>0</v>
      </c>
      <c r="AE140" s="488">
        <v>0</v>
      </c>
      <c r="AF140" s="489">
        <v>15996371.41</v>
      </c>
      <c r="AG140" s="489">
        <v>0</v>
      </c>
      <c r="AH140" s="490">
        <v>0.96328285449322837</v>
      </c>
      <c r="AI140" s="490">
        <v>0</v>
      </c>
      <c r="AJ140" s="490">
        <v>0</v>
      </c>
    </row>
    <row r="141" spans="2:36" ht="25.5" x14ac:dyDescent="0.25">
      <c r="B141" s="488" t="s">
        <v>299</v>
      </c>
      <c r="C141" s="488" t="s">
        <v>559</v>
      </c>
      <c r="D141" s="488" t="s">
        <v>358</v>
      </c>
      <c r="E141" s="488" t="s">
        <v>553</v>
      </c>
      <c r="F141" s="489">
        <v>15186315</v>
      </c>
      <c r="G141" s="489">
        <v>0</v>
      </c>
      <c r="H141" s="553">
        <v>0</v>
      </c>
      <c r="I141" s="552"/>
      <c r="J141" s="489">
        <v>15186315</v>
      </c>
      <c r="K141" s="489">
        <v>15796042.16</v>
      </c>
      <c r="L141" s="489">
        <v>0</v>
      </c>
      <c r="M141" s="490">
        <v>1.0401497769537904</v>
      </c>
      <c r="N141" s="490">
        <v>0</v>
      </c>
      <c r="O141" s="554">
        <v>0</v>
      </c>
      <c r="P141" s="551"/>
      <c r="Q141" s="552"/>
      <c r="R141" s="488">
        <v>1</v>
      </c>
      <c r="S141" s="489">
        <v>15796042.16</v>
      </c>
      <c r="T141" s="489">
        <v>0</v>
      </c>
      <c r="U141" s="490">
        <v>1.0401497769537904</v>
      </c>
      <c r="V141" s="490">
        <v>0</v>
      </c>
      <c r="W141" s="490">
        <v>0</v>
      </c>
      <c r="X141" s="488">
        <v>1</v>
      </c>
      <c r="Y141" s="489">
        <v>15796042.16</v>
      </c>
      <c r="Z141" s="489">
        <v>0</v>
      </c>
      <c r="AB141" s="490">
        <v>1.0401497769537904</v>
      </c>
      <c r="AC141" s="490">
        <v>0</v>
      </c>
      <c r="AD141" s="490">
        <v>0</v>
      </c>
      <c r="AE141" s="488">
        <v>1</v>
      </c>
      <c r="AF141" s="489">
        <v>15796042.16</v>
      </c>
      <c r="AG141" s="489">
        <v>0</v>
      </c>
      <c r="AH141" s="490">
        <v>1.0401497769537904</v>
      </c>
      <c r="AI141" s="490">
        <v>0</v>
      </c>
      <c r="AJ141" s="490">
        <v>0</v>
      </c>
    </row>
    <row r="142" spans="2:36" ht="25.5" x14ac:dyDescent="0.25">
      <c r="B142" s="488" t="s">
        <v>300</v>
      </c>
      <c r="C142" s="488" t="s">
        <v>560</v>
      </c>
      <c r="D142" s="488" t="s">
        <v>346</v>
      </c>
      <c r="E142" s="488" t="s">
        <v>553</v>
      </c>
      <c r="F142" s="489">
        <v>21201278</v>
      </c>
      <c r="G142" s="489">
        <v>0</v>
      </c>
      <c r="H142" s="553">
        <v>0</v>
      </c>
      <c r="I142" s="552"/>
      <c r="J142" s="489">
        <v>21201278</v>
      </c>
      <c r="K142" s="489">
        <v>20971645.190000001</v>
      </c>
      <c r="L142" s="489">
        <v>0</v>
      </c>
      <c r="M142" s="490">
        <v>0.98916891660964967</v>
      </c>
      <c r="N142" s="490">
        <v>0</v>
      </c>
      <c r="O142" s="554">
        <v>0</v>
      </c>
      <c r="P142" s="551"/>
      <c r="Q142" s="552"/>
      <c r="R142" s="488">
        <v>0</v>
      </c>
      <c r="S142" s="489">
        <v>20971645.190000001</v>
      </c>
      <c r="T142" s="489">
        <v>0</v>
      </c>
      <c r="U142" s="490">
        <v>0.98916891660964967</v>
      </c>
      <c r="V142" s="490">
        <v>0</v>
      </c>
      <c r="W142" s="490">
        <v>0</v>
      </c>
      <c r="X142" s="488">
        <v>0</v>
      </c>
      <c r="Y142" s="489">
        <v>20971645.190000001</v>
      </c>
      <c r="Z142" s="489">
        <v>0</v>
      </c>
      <c r="AB142" s="490">
        <v>0.98916891660964967</v>
      </c>
      <c r="AC142" s="490">
        <v>0</v>
      </c>
      <c r="AD142" s="490">
        <v>0</v>
      </c>
      <c r="AE142" s="488">
        <v>0</v>
      </c>
      <c r="AF142" s="489">
        <v>20971645.190000001</v>
      </c>
      <c r="AG142" s="489">
        <v>0</v>
      </c>
      <c r="AH142" s="490">
        <v>0.98916891660964967</v>
      </c>
      <c r="AI142" s="490">
        <v>0</v>
      </c>
      <c r="AJ142" s="490">
        <v>0</v>
      </c>
    </row>
    <row r="143" spans="2:36" ht="25.5" x14ac:dyDescent="0.25">
      <c r="B143" s="488" t="s">
        <v>300</v>
      </c>
      <c r="C143" s="488" t="s">
        <v>560</v>
      </c>
      <c r="D143" s="488" t="s">
        <v>358</v>
      </c>
      <c r="E143" s="488" t="s">
        <v>553</v>
      </c>
      <c r="F143" s="489">
        <v>13824324</v>
      </c>
      <c r="G143" s="489">
        <v>0</v>
      </c>
      <c r="H143" s="553">
        <v>0</v>
      </c>
      <c r="I143" s="552"/>
      <c r="J143" s="489">
        <v>13824324</v>
      </c>
      <c r="K143" s="489">
        <v>13014361.460000001</v>
      </c>
      <c r="L143" s="489">
        <v>0</v>
      </c>
      <c r="M143" s="490">
        <v>0.94141033297541343</v>
      </c>
      <c r="N143" s="490">
        <v>0</v>
      </c>
      <c r="O143" s="554">
        <v>0</v>
      </c>
      <c r="P143" s="551"/>
      <c r="Q143" s="552"/>
      <c r="R143" s="488">
        <v>1</v>
      </c>
      <c r="S143" s="489">
        <v>13014361.460000001</v>
      </c>
      <c r="T143" s="489">
        <v>0</v>
      </c>
      <c r="U143" s="490">
        <v>0.94141033297541343</v>
      </c>
      <c r="V143" s="490">
        <v>0</v>
      </c>
      <c r="W143" s="490">
        <v>0</v>
      </c>
      <c r="X143" s="488">
        <v>1</v>
      </c>
      <c r="Y143" s="489">
        <v>13014361.460000001</v>
      </c>
      <c r="Z143" s="489">
        <v>0</v>
      </c>
      <c r="AB143" s="490">
        <v>0.94141033297541343</v>
      </c>
      <c r="AC143" s="490">
        <v>0</v>
      </c>
      <c r="AD143" s="490">
        <v>0</v>
      </c>
      <c r="AE143" s="488">
        <v>1</v>
      </c>
      <c r="AF143" s="489">
        <v>13014361.460000001</v>
      </c>
      <c r="AG143" s="489">
        <v>0</v>
      </c>
      <c r="AH143" s="490">
        <v>0.94141033297541343</v>
      </c>
      <c r="AI143" s="490">
        <v>0</v>
      </c>
      <c r="AJ143" s="490">
        <v>0</v>
      </c>
    </row>
    <row r="144" spans="2:36" ht="25.5" x14ac:dyDescent="0.25">
      <c r="B144" s="488" t="s">
        <v>301</v>
      </c>
      <c r="C144" s="488" t="s">
        <v>202</v>
      </c>
      <c r="D144" s="488"/>
      <c r="E144" s="488" t="s">
        <v>553</v>
      </c>
      <c r="F144" s="489">
        <v>0</v>
      </c>
      <c r="G144" s="489">
        <v>0</v>
      </c>
      <c r="H144" s="553">
        <v>0</v>
      </c>
      <c r="I144" s="552"/>
      <c r="J144" s="489">
        <v>0</v>
      </c>
      <c r="K144" s="489">
        <v>0</v>
      </c>
      <c r="L144" s="489">
        <v>0</v>
      </c>
      <c r="M144" s="490">
        <v>0</v>
      </c>
      <c r="N144" s="490">
        <v>0</v>
      </c>
      <c r="O144" s="554">
        <v>0</v>
      </c>
      <c r="P144" s="551"/>
      <c r="Q144" s="552"/>
      <c r="R144" s="488">
        <v>0</v>
      </c>
      <c r="S144" s="489">
        <v>0</v>
      </c>
      <c r="T144" s="489">
        <v>0</v>
      </c>
      <c r="U144" s="490">
        <v>0</v>
      </c>
      <c r="V144" s="490">
        <v>0</v>
      </c>
      <c r="W144" s="490">
        <v>0</v>
      </c>
      <c r="X144" s="488">
        <v>0</v>
      </c>
      <c r="Y144" s="489">
        <v>0</v>
      </c>
      <c r="Z144" s="489">
        <v>0</v>
      </c>
      <c r="AB144" s="490">
        <v>0</v>
      </c>
      <c r="AC144" s="490">
        <v>0</v>
      </c>
      <c r="AD144" s="490">
        <v>0</v>
      </c>
      <c r="AE144" s="488">
        <v>0</v>
      </c>
      <c r="AF144" s="489">
        <v>0</v>
      </c>
      <c r="AG144" s="489">
        <v>0</v>
      </c>
      <c r="AH144" s="490">
        <v>0</v>
      </c>
      <c r="AI144" s="490">
        <v>0</v>
      </c>
      <c r="AJ144" s="490">
        <v>0</v>
      </c>
    </row>
    <row r="145" spans="2:36" ht="25.5" x14ac:dyDescent="0.25">
      <c r="B145" s="488" t="s">
        <v>561</v>
      </c>
      <c r="C145" s="488" t="s">
        <v>562</v>
      </c>
      <c r="D145" s="488"/>
      <c r="E145" s="488"/>
      <c r="F145" s="489">
        <v>7422751</v>
      </c>
      <c r="G145" s="489">
        <v>0</v>
      </c>
      <c r="H145" s="553">
        <v>0</v>
      </c>
      <c r="I145" s="552"/>
      <c r="J145" s="489">
        <v>7422751</v>
      </c>
      <c r="K145" s="489">
        <v>7110156.4299999997</v>
      </c>
      <c r="L145" s="489">
        <v>0</v>
      </c>
      <c r="M145" s="490">
        <v>0.95788696535826134</v>
      </c>
      <c r="N145" s="490">
        <v>0</v>
      </c>
      <c r="O145" s="554">
        <v>0</v>
      </c>
      <c r="P145" s="551"/>
      <c r="Q145" s="552"/>
      <c r="R145" s="488">
        <v>2</v>
      </c>
      <c r="S145" s="489">
        <v>7110156.4299999997</v>
      </c>
      <c r="T145" s="489">
        <v>0</v>
      </c>
      <c r="U145" s="490">
        <v>0.95788696535826134</v>
      </c>
      <c r="V145" s="490">
        <v>0</v>
      </c>
      <c r="W145" s="490">
        <v>0</v>
      </c>
      <c r="X145" s="488">
        <v>2</v>
      </c>
      <c r="Y145" s="489">
        <v>7110156.4299999997</v>
      </c>
      <c r="Z145" s="489">
        <v>0</v>
      </c>
      <c r="AB145" s="490">
        <v>0.95788696535826134</v>
      </c>
      <c r="AC145" s="490">
        <v>0</v>
      </c>
      <c r="AD145" s="490">
        <v>0</v>
      </c>
      <c r="AE145" s="488">
        <v>2</v>
      </c>
      <c r="AF145" s="489">
        <v>7110156.4299999997</v>
      </c>
      <c r="AG145" s="489">
        <v>0</v>
      </c>
      <c r="AH145" s="490">
        <v>0.95788696535826134</v>
      </c>
      <c r="AI145" s="490">
        <v>0</v>
      </c>
      <c r="AJ145" s="490">
        <v>0</v>
      </c>
    </row>
    <row r="146" spans="2:36" ht="25.5" x14ac:dyDescent="0.25">
      <c r="B146" s="488" t="s">
        <v>302</v>
      </c>
      <c r="C146" s="488" t="s">
        <v>563</v>
      </c>
      <c r="D146" s="488" t="s">
        <v>346</v>
      </c>
      <c r="E146" s="488" t="s">
        <v>553</v>
      </c>
      <c r="F146" s="489">
        <v>5856035</v>
      </c>
      <c r="G146" s="489">
        <v>0</v>
      </c>
      <c r="H146" s="553">
        <v>0</v>
      </c>
      <c r="I146" s="552"/>
      <c r="J146" s="489">
        <v>5856035</v>
      </c>
      <c r="K146" s="489">
        <v>5543441.2199999997</v>
      </c>
      <c r="L146" s="489">
        <v>0</v>
      </c>
      <c r="M146" s="490">
        <v>0.94662023365639036</v>
      </c>
      <c r="N146" s="490">
        <v>0</v>
      </c>
      <c r="O146" s="554">
        <v>0</v>
      </c>
      <c r="P146" s="551"/>
      <c r="Q146" s="552"/>
      <c r="R146" s="488">
        <v>1</v>
      </c>
      <c r="S146" s="489">
        <v>5543441.2199999997</v>
      </c>
      <c r="T146" s="489">
        <v>0</v>
      </c>
      <c r="U146" s="490">
        <v>0.94662023365639036</v>
      </c>
      <c r="V146" s="490">
        <v>0</v>
      </c>
      <c r="W146" s="490">
        <v>0</v>
      </c>
      <c r="X146" s="488">
        <v>1</v>
      </c>
      <c r="Y146" s="489">
        <v>5543441.2199999997</v>
      </c>
      <c r="Z146" s="489">
        <v>0</v>
      </c>
      <c r="AB146" s="490">
        <v>0.94662023365639036</v>
      </c>
      <c r="AC146" s="490">
        <v>0</v>
      </c>
      <c r="AD146" s="490">
        <v>0</v>
      </c>
      <c r="AE146" s="488">
        <v>1</v>
      </c>
      <c r="AF146" s="489">
        <v>5543441.2199999997</v>
      </c>
      <c r="AG146" s="489">
        <v>0</v>
      </c>
      <c r="AH146" s="490">
        <v>0.94662023365639036</v>
      </c>
      <c r="AI146" s="490">
        <v>0</v>
      </c>
      <c r="AJ146" s="490">
        <v>0</v>
      </c>
    </row>
    <row r="147" spans="2:36" ht="25.5" x14ac:dyDescent="0.25">
      <c r="B147" s="488" t="s">
        <v>303</v>
      </c>
      <c r="C147" s="488" t="s">
        <v>564</v>
      </c>
      <c r="D147" s="488" t="s">
        <v>346</v>
      </c>
      <c r="E147" s="488" t="s">
        <v>553</v>
      </c>
      <c r="F147" s="489">
        <v>1566716</v>
      </c>
      <c r="G147" s="489">
        <v>0</v>
      </c>
      <c r="H147" s="553">
        <v>0</v>
      </c>
      <c r="I147" s="552"/>
      <c r="J147" s="489">
        <v>1566716</v>
      </c>
      <c r="K147" s="489">
        <v>1566715.21</v>
      </c>
      <c r="L147" s="489">
        <v>0</v>
      </c>
      <c r="M147" s="490">
        <v>0.99999949576055902</v>
      </c>
      <c r="N147" s="490">
        <v>0</v>
      </c>
      <c r="O147" s="554">
        <v>0</v>
      </c>
      <c r="P147" s="551"/>
      <c r="Q147" s="552"/>
      <c r="R147" s="488">
        <v>1</v>
      </c>
      <c r="S147" s="489">
        <v>1566715.21</v>
      </c>
      <c r="T147" s="489">
        <v>0</v>
      </c>
      <c r="U147" s="490">
        <v>0.99999949576055902</v>
      </c>
      <c r="V147" s="490">
        <v>0</v>
      </c>
      <c r="W147" s="490">
        <v>0</v>
      </c>
      <c r="X147" s="488">
        <v>1</v>
      </c>
      <c r="Y147" s="489">
        <v>1566715.21</v>
      </c>
      <c r="Z147" s="489">
        <v>0</v>
      </c>
      <c r="AB147" s="490">
        <v>0.99999949576055902</v>
      </c>
      <c r="AC147" s="490">
        <v>0</v>
      </c>
      <c r="AD147" s="490">
        <v>0</v>
      </c>
      <c r="AE147" s="488">
        <v>1</v>
      </c>
      <c r="AF147" s="489">
        <v>1566715.21</v>
      </c>
      <c r="AG147" s="489">
        <v>0</v>
      </c>
      <c r="AH147" s="490">
        <v>0.99999949576055902</v>
      </c>
      <c r="AI147" s="490">
        <v>0</v>
      </c>
      <c r="AJ147" s="490">
        <v>0</v>
      </c>
    </row>
    <row r="148" spans="2:36" x14ac:dyDescent="0.25">
      <c r="B148" s="485" t="s">
        <v>304</v>
      </c>
      <c r="C148" s="485" t="s">
        <v>98</v>
      </c>
      <c r="D148" s="485"/>
      <c r="E148" s="485"/>
      <c r="F148" s="486">
        <v>510213088</v>
      </c>
      <c r="G148" s="486">
        <v>15597347</v>
      </c>
      <c r="H148" s="555">
        <v>5607771</v>
      </c>
      <c r="I148" s="552"/>
      <c r="J148" s="486">
        <v>515820859</v>
      </c>
      <c r="K148" s="486">
        <v>534517069.55000001</v>
      </c>
      <c r="L148" s="486">
        <v>14833103.73</v>
      </c>
      <c r="M148" s="487">
        <v>1.047634962962769</v>
      </c>
      <c r="N148" s="487">
        <v>0</v>
      </c>
      <c r="O148" s="550">
        <v>0</v>
      </c>
      <c r="P148" s="551"/>
      <c r="Q148" s="552"/>
      <c r="R148" s="485">
        <v>192</v>
      </c>
      <c r="S148" s="486">
        <v>534517069.55000001</v>
      </c>
      <c r="T148" s="486">
        <v>14833103.73</v>
      </c>
      <c r="U148" s="487">
        <v>1.047634962962769</v>
      </c>
      <c r="V148" s="487">
        <v>0</v>
      </c>
      <c r="W148" s="487">
        <v>0</v>
      </c>
      <c r="X148" s="485">
        <v>192</v>
      </c>
      <c r="Y148" s="486">
        <v>534517069.55000001</v>
      </c>
      <c r="Z148" s="486">
        <v>14833103.73</v>
      </c>
      <c r="AB148" s="487">
        <v>1.047634962962769</v>
      </c>
      <c r="AC148" s="487">
        <v>0</v>
      </c>
      <c r="AD148" s="487">
        <v>0</v>
      </c>
      <c r="AE148" s="485">
        <v>192</v>
      </c>
      <c r="AF148" s="486">
        <v>530739872.82999998</v>
      </c>
      <c r="AG148" s="486">
        <v>14494139.029999999</v>
      </c>
      <c r="AH148" s="487">
        <v>1.0402317880759657</v>
      </c>
      <c r="AI148" s="487">
        <v>0</v>
      </c>
      <c r="AJ148" s="487">
        <v>0</v>
      </c>
    </row>
    <row r="149" spans="2:36" ht="51" x14ac:dyDescent="0.25">
      <c r="B149" s="488" t="s">
        <v>565</v>
      </c>
      <c r="C149" s="488" t="s">
        <v>566</v>
      </c>
      <c r="D149" s="488"/>
      <c r="E149" s="488"/>
      <c r="F149" s="489">
        <v>281460881</v>
      </c>
      <c r="G149" s="489">
        <v>8895441</v>
      </c>
      <c r="H149" s="553">
        <v>5607771</v>
      </c>
      <c r="I149" s="552"/>
      <c r="J149" s="489">
        <v>287068652</v>
      </c>
      <c r="K149" s="489">
        <v>281946270.48000002</v>
      </c>
      <c r="L149" s="489">
        <v>8895441</v>
      </c>
      <c r="M149" s="490">
        <v>1.0017245362065075</v>
      </c>
      <c r="N149" s="490">
        <v>0</v>
      </c>
      <c r="O149" s="554">
        <v>0</v>
      </c>
      <c r="P149" s="551"/>
      <c r="Q149" s="552"/>
      <c r="R149" s="488">
        <v>94</v>
      </c>
      <c r="S149" s="489">
        <v>281946270.48000002</v>
      </c>
      <c r="T149" s="489">
        <v>8895441</v>
      </c>
      <c r="U149" s="490">
        <v>1.0017245362065075</v>
      </c>
      <c r="V149" s="490">
        <v>0</v>
      </c>
      <c r="W149" s="490">
        <v>0</v>
      </c>
      <c r="X149" s="488">
        <v>94</v>
      </c>
      <c r="Y149" s="489">
        <v>281946270.48000002</v>
      </c>
      <c r="Z149" s="489">
        <v>8895441</v>
      </c>
      <c r="AB149" s="490">
        <v>1.0017245362065075</v>
      </c>
      <c r="AC149" s="490">
        <v>0</v>
      </c>
      <c r="AD149" s="490">
        <v>0</v>
      </c>
      <c r="AE149" s="488">
        <v>94</v>
      </c>
      <c r="AF149" s="489">
        <v>278529005.49000001</v>
      </c>
      <c r="AG149" s="489">
        <v>8895441</v>
      </c>
      <c r="AH149" s="490">
        <v>0.98958336412654091</v>
      </c>
      <c r="AI149" s="490">
        <v>0</v>
      </c>
      <c r="AJ149" s="490">
        <v>0</v>
      </c>
    </row>
    <row r="150" spans="2:36" ht="38.25" x14ac:dyDescent="0.25">
      <c r="B150" s="488" t="s">
        <v>305</v>
      </c>
      <c r="C150" s="488" t="s">
        <v>567</v>
      </c>
      <c r="D150" s="488" t="s">
        <v>344</v>
      </c>
      <c r="E150" s="488" t="s">
        <v>483</v>
      </c>
      <c r="F150" s="489">
        <v>38009447</v>
      </c>
      <c r="G150" s="489">
        <v>0</v>
      </c>
      <c r="H150" s="553">
        <v>0</v>
      </c>
      <c r="I150" s="552"/>
      <c r="J150" s="489">
        <v>38009447</v>
      </c>
      <c r="K150" s="489">
        <v>37742128.32</v>
      </c>
      <c r="L150" s="489">
        <v>0</v>
      </c>
      <c r="M150" s="490">
        <v>0.99296704632403621</v>
      </c>
      <c r="N150" s="490">
        <v>0</v>
      </c>
      <c r="O150" s="554">
        <v>0</v>
      </c>
      <c r="P150" s="551"/>
      <c r="Q150" s="552"/>
      <c r="R150" s="488">
        <v>15</v>
      </c>
      <c r="S150" s="489">
        <v>37742128.32</v>
      </c>
      <c r="T150" s="489">
        <v>0</v>
      </c>
      <c r="U150" s="490">
        <v>0.99296704632403621</v>
      </c>
      <c r="V150" s="490">
        <v>0</v>
      </c>
      <c r="W150" s="490">
        <v>0</v>
      </c>
      <c r="X150" s="488">
        <v>15</v>
      </c>
      <c r="Y150" s="489">
        <v>37742128.32</v>
      </c>
      <c r="Z150" s="489">
        <v>0</v>
      </c>
      <c r="AB150" s="490">
        <v>0.99296704632403621</v>
      </c>
      <c r="AC150" s="490">
        <v>0</v>
      </c>
      <c r="AD150" s="490">
        <v>0</v>
      </c>
      <c r="AE150" s="488">
        <v>15</v>
      </c>
      <c r="AF150" s="489">
        <v>37045829.759999998</v>
      </c>
      <c r="AG150" s="489">
        <v>0</v>
      </c>
      <c r="AH150" s="490">
        <v>0.9746479542309574</v>
      </c>
      <c r="AI150" s="490">
        <v>0</v>
      </c>
      <c r="AJ150" s="490">
        <v>0</v>
      </c>
    </row>
    <row r="151" spans="2:36" ht="38.25" x14ac:dyDescent="0.25">
      <c r="B151" s="488" t="s">
        <v>445</v>
      </c>
      <c r="C151" s="488" t="s">
        <v>102</v>
      </c>
      <c r="D151" s="488" t="s">
        <v>344</v>
      </c>
      <c r="E151" s="488" t="s">
        <v>483</v>
      </c>
      <c r="F151" s="489">
        <v>142593410</v>
      </c>
      <c r="G151" s="489">
        <v>8895441</v>
      </c>
      <c r="H151" s="553">
        <v>4095434</v>
      </c>
      <c r="I151" s="552"/>
      <c r="J151" s="489">
        <v>146688844</v>
      </c>
      <c r="K151" s="489">
        <v>142700468.91999999</v>
      </c>
      <c r="L151" s="489">
        <v>8895441</v>
      </c>
      <c r="M151" s="490">
        <v>1.0007507985116564</v>
      </c>
      <c r="N151" s="490">
        <v>0</v>
      </c>
      <c r="O151" s="554">
        <v>0</v>
      </c>
      <c r="P151" s="551"/>
      <c r="Q151" s="552"/>
      <c r="R151" s="488">
        <v>46</v>
      </c>
      <c r="S151" s="489">
        <v>142700468.91999999</v>
      </c>
      <c r="T151" s="489">
        <v>8895441</v>
      </c>
      <c r="U151" s="490">
        <v>1.0007507985116564</v>
      </c>
      <c r="V151" s="490">
        <v>0</v>
      </c>
      <c r="W151" s="490">
        <v>0</v>
      </c>
      <c r="X151" s="488">
        <v>46</v>
      </c>
      <c r="Y151" s="489">
        <v>142700468.91999999</v>
      </c>
      <c r="Z151" s="489">
        <v>8895441</v>
      </c>
      <c r="AB151" s="490">
        <v>1.0007507985116564</v>
      </c>
      <c r="AC151" s="490">
        <v>0</v>
      </c>
      <c r="AD151" s="490">
        <v>0</v>
      </c>
      <c r="AE151" s="488">
        <v>46</v>
      </c>
      <c r="AF151" s="489">
        <v>141959120.94999999</v>
      </c>
      <c r="AG151" s="489">
        <v>8895441</v>
      </c>
      <c r="AH151" s="490">
        <v>0.995551764629235</v>
      </c>
      <c r="AI151" s="490">
        <v>0</v>
      </c>
      <c r="AJ151" s="490">
        <v>0</v>
      </c>
    </row>
    <row r="152" spans="2:36" ht="38.25" x14ac:dyDescent="0.25">
      <c r="B152" s="488" t="s">
        <v>306</v>
      </c>
      <c r="C152" s="488" t="s">
        <v>363</v>
      </c>
      <c r="D152" s="488" t="s">
        <v>344</v>
      </c>
      <c r="E152" s="488" t="s">
        <v>483</v>
      </c>
      <c r="F152" s="489">
        <v>88864646</v>
      </c>
      <c r="G152" s="489">
        <v>0</v>
      </c>
      <c r="H152" s="553">
        <v>1512337</v>
      </c>
      <c r="I152" s="552"/>
      <c r="J152" s="489">
        <v>90376983</v>
      </c>
      <c r="K152" s="489">
        <v>89515294.299999997</v>
      </c>
      <c r="L152" s="489">
        <v>0</v>
      </c>
      <c r="M152" s="490">
        <v>1.0073217902651634</v>
      </c>
      <c r="N152" s="490">
        <v>0</v>
      </c>
      <c r="O152" s="554">
        <v>0</v>
      </c>
      <c r="P152" s="551"/>
      <c r="Q152" s="552"/>
      <c r="R152" s="488">
        <v>24</v>
      </c>
      <c r="S152" s="489">
        <v>89515294.299999997</v>
      </c>
      <c r="T152" s="489">
        <v>0</v>
      </c>
      <c r="U152" s="490">
        <v>1.0073217902651634</v>
      </c>
      <c r="V152" s="490">
        <v>0</v>
      </c>
      <c r="W152" s="490">
        <v>0</v>
      </c>
      <c r="X152" s="488">
        <v>24</v>
      </c>
      <c r="Y152" s="489">
        <v>89515294.299999997</v>
      </c>
      <c r="Z152" s="489">
        <v>0</v>
      </c>
      <c r="AB152" s="490">
        <v>1.0073217902651634</v>
      </c>
      <c r="AC152" s="490">
        <v>0</v>
      </c>
      <c r="AD152" s="490">
        <v>0</v>
      </c>
      <c r="AE152" s="488">
        <v>24</v>
      </c>
      <c r="AF152" s="489">
        <v>87993777.900000006</v>
      </c>
      <c r="AG152" s="489">
        <v>0</v>
      </c>
      <c r="AH152" s="490">
        <v>0.9902000611131675</v>
      </c>
      <c r="AI152" s="490">
        <v>0</v>
      </c>
      <c r="AJ152" s="490">
        <v>0</v>
      </c>
    </row>
    <row r="153" spans="2:36" ht="38.25" x14ac:dyDescent="0.25">
      <c r="B153" s="488" t="s">
        <v>307</v>
      </c>
      <c r="C153" s="488" t="s">
        <v>568</v>
      </c>
      <c r="D153" s="488" t="s">
        <v>344</v>
      </c>
      <c r="E153" s="488" t="s">
        <v>483</v>
      </c>
      <c r="F153" s="489">
        <v>11993378</v>
      </c>
      <c r="G153" s="489">
        <v>0</v>
      </c>
      <c r="H153" s="553">
        <v>0</v>
      </c>
      <c r="I153" s="552"/>
      <c r="J153" s="489">
        <v>11993378</v>
      </c>
      <c r="K153" s="489">
        <v>11988378.939999999</v>
      </c>
      <c r="L153" s="489">
        <v>0</v>
      </c>
      <c r="M153" s="490">
        <v>0.99958318165240856</v>
      </c>
      <c r="N153" s="490">
        <v>0</v>
      </c>
      <c r="O153" s="554">
        <v>0</v>
      </c>
      <c r="P153" s="551"/>
      <c r="Q153" s="552"/>
      <c r="R153" s="488">
        <v>9</v>
      </c>
      <c r="S153" s="489">
        <v>11988378.939999999</v>
      </c>
      <c r="T153" s="489">
        <v>0</v>
      </c>
      <c r="U153" s="490">
        <v>0.99958318165240856</v>
      </c>
      <c r="V153" s="490">
        <v>0</v>
      </c>
      <c r="W153" s="490">
        <v>0</v>
      </c>
      <c r="X153" s="488">
        <v>9</v>
      </c>
      <c r="Y153" s="489">
        <v>11988378.939999999</v>
      </c>
      <c r="Z153" s="489">
        <v>0</v>
      </c>
      <c r="AB153" s="490">
        <v>0.99958318165240856</v>
      </c>
      <c r="AC153" s="490">
        <v>0</v>
      </c>
      <c r="AD153" s="490">
        <v>0</v>
      </c>
      <c r="AE153" s="488">
        <v>9</v>
      </c>
      <c r="AF153" s="489">
        <v>11530276.880000001</v>
      </c>
      <c r="AG153" s="489">
        <v>0</v>
      </c>
      <c r="AH153" s="490">
        <v>0.96138693202198744</v>
      </c>
      <c r="AI153" s="490">
        <v>0</v>
      </c>
      <c r="AJ153" s="490">
        <v>0</v>
      </c>
    </row>
    <row r="154" spans="2:36" ht="51" x14ac:dyDescent="0.25">
      <c r="B154" s="488" t="s">
        <v>569</v>
      </c>
      <c r="C154" s="488" t="s">
        <v>570</v>
      </c>
      <c r="D154" s="488"/>
      <c r="E154" s="488"/>
      <c r="F154" s="489">
        <v>60453520</v>
      </c>
      <c r="G154" s="489">
        <v>5627882</v>
      </c>
      <c r="H154" s="553">
        <v>0</v>
      </c>
      <c r="I154" s="552"/>
      <c r="J154" s="489">
        <v>60453520</v>
      </c>
      <c r="K154" s="489">
        <v>56640006.549999997</v>
      </c>
      <c r="L154" s="489">
        <v>4874489.05</v>
      </c>
      <c r="M154" s="490">
        <v>0.93691825637282988</v>
      </c>
      <c r="N154" s="490">
        <v>0</v>
      </c>
      <c r="O154" s="554">
        <v>0</v>
      </c>
      <c r="P154" s="551"/>
      <c r="Q154" s="552"/>
      <c r="R154" s="488">
        <v>75</v>
      </c>
      <c r="S154" s="489">
        <v>56640006.549999997</v>
      </c>
      <c r="T154" s="489">
        <v>4874489.05</v>
      </c>
      <c r="U154" s="490">
        <v>0.93691825637282988</v>
      </c>
      <c r="V154" s="490">
        <v>0</v>
      </c>
      <c r="W154" s="490">
        <v>0</v>
      </c>
      <c r="X154" s="488">
        <v>75</v>
      </c>
      <c r="Y154" s="489">
        <v>56640006.549999997</v>
      </c>
      <c r="Z154" s="489">
        <v>4874489.05</v>
      </c>
      <c r="AB154" s="490">
        <v>0.93691825637282988</v>
      </c>
      <c r="AC154" s="490">
        <v>0</v>
      </c>
      <c r="AD154" s="490">
        <v>0</v>
      </c>
      <c r="AE154" s="488">
        <v>75</v>
      </c>
      <c r="AF154" s="489">
        <v>56280074.82</v>
      </c>
      <c r="AG154" s="489">
        <v>4535524.3499999996</v>
      </c>
      <c r="AH154" s="490">
        <v>0.93096439744120774</v>
      </c>
      <c r="AI154" s="490">
        <v>0</v>
      </c>
      <c r="AJ154" s="490">
        <v>0</v>
      </c>
    </row>
    <row r="155" spans="2:36" ht="38.25" x14ac:dyDescent="0.25">
      <c r="B155" s="488" t="s">
        <v>308</v>
      </c>
      <c r="C155" s="488" t="s">
        <v>571</v>
      </c>
      <c r="D155" s="488" t="s">
        <v>346</v>
      </c>
      <c r="E155" s="488" t="s">
        <v>483</v>
      </c>
      <c r="F155" s="489">
        <v>10757181</v>
      </c>
      <c r="G155" s="489">
        <v>0</v>
      </c>
      <c r="H155" s="553">
        <v>0</v>
      </c>
      <c r="I155" s="552"/>
      <c r="J155" s="489">
        <v>10757181</v>
      </c>
      <c r="K155" s="489">
        <v>10362191.369999999</v>
      </c>
      <c r="L155" s="489">
        <v>0</v>
      </c>
      <c r="M155" s="490">
        <v>0.96328130669178103</v>
      </c>
      <c r="N155" s="490">
        <v>0</v>
      </c>
      <c r="O155" s="554">
        <v>0</v>
      </c>
      <c r="P155" s="551"/>
      <c r="Q155" s="552"/>
      <c r="R155" s="488">
        <v>20</v>
      </c>
      <c r="S155" s="489">
        <v>10362191.369999999</v>
      </c>
      <c r="T155" s="489">
        <v>0</v>
      </c>
      <c r="U155" s="490">
        <v>0.96328130669178103</v>
      </c>
      <c r="V155" s="490">
        <v>0</v>
      </c>
      <c r="W155" s="490">
        <v>0</v>
      </c>
      <c r="X155" s="488">
        <v>20</v>
      </c>
      <c r="Y155" s="489">
        <v>10362191.369999999</v>
      </c>
      <c r="Z155" s="489">
        <v>0</v>
      </c>
      <c r="AB155" s="490">
        <v>0.96328130669178103</v>
      </c>
      <c r="AC155" s="490">
        <v>0</v>
      </c>
      <c r="AD155" s="490">
        <v>0</v>
      </c>
      <c r="AE155" s="488">
        <v>20</v>
      </c>
      <c r="AF155" s="489">
        <v>10362191.369999999</v>
      </c>
      <c r="AG155" s="489">
        <v>0</v>
      </c>
      <c r="AH155" s="490">
        <v>0.96328130669178103</v>
      </c>
      <c r="AI155" s="490">
        <v>0</v>
      </c>
      <c r="AJ155" s="490">
        <v>0</v>
      </c>
    </row>
    <row r="156" spans="2:36" ht="38.25" x14ac:dyDescent="0.25">
      <c r="B156" s="488" t="s">
        <v>309</v>
      </c>
      <c r="C156" s="488" t="s">
        <v>109</v>
      </c>
      <c r="D156" s="488" t="s">
        <v>346</v>
      </c>
      <c r="E156" s="488" t="s">
        <v>483</v>
      </c>
      <c r="F156" s="489">
        <v>27199264</v>
      </c>
      <c r="G156" s="489">
        <v>0</v>
      </c>
      <c r="H156" s="553">
        <v>0</v>
      </c>
      <c r="I156" s="552"/>
      <c r="J156" s="489">
        <v>27199264</v>
      </c>
      <c r="K156" s="489">
        <v>24667982.48</v>
      </c>
      <c r="L156" s="489">
        <v>0</v>
      </c>
      <c r="M156" s="490">
        <v>0.90693566120024427</v>
      </c>
      <c r="N156" s="490">
        <v>0</v>
      </c>
      <c r="O156" s="554">
        <v>0</v>
      </c>
      <c r="P156" s="551"/>
      <c r="Q156" s="552"/>
      <c r="R156" s="488">
        <v>32</v>
      </c>
      <c r="S156" s="489">
        <v>24667982.48</v>
      </c>
      <c r="T156" s="489">
        <v>0</v>
      </c>
      <c r="U156" s="490">
        <v>0.90693566120024427</v>
      </c>
      <c r="V156" s="490">
        <v>0</v>
      </c>
      <c r="W156" s="490">
        <v>0</v>
      </c>
      <c r="X156" s="488">
        <v>32</v>
      </c>
      <c r="Y156" s="489">
        <v>24667982.48</v>
      </c>
      <c r="Z156" s="489">
        <v>0</v>
      </c>
      <c r="AB156" s="490">
        <v>0.90693566120024427</v>
      </c>
      <c r="AC156" s="490">
        <v>0</v>
      </c>
      <c r="AD156" s="490">
        <v>0</v>
      </c>
      <c r="AE156" s="488">
        <v>32</v>
      </c>
      <c r="AF156" s="489">
        <v>24387906.82</v>
      </c>
      <c r="AG156" s="489">
        <v>0</v>
      </c>
      <c r="AH156" s="490">
        <v>0.89663848330601892</v>
      </c>
      <c r="AI156" s="490">
        <v>0</v>
      </c>
      <c r="AJ156" s="490">
        <v>0</v>
      </c>
    </row>
    <row r="157" spans="2:36" ht="38.25" x14ac:dyDescent="0.25">
      <c r="B157" s="488" t="s">
        <v>310</v>
      </c>
      <c r="C157" s="488" t="s">
        <v>572</v>
      </c>
      <c r="D157" s="488" t="s">
        <v>346</v>
      </c>
      <c r="E157" s="488" t="s">
        <v>483</v>
      </c>
      <c r="F157" s="489">
        <v>21448148</v>
      </c>
      <c r="G157" s="489">
        <v>5627882</v>
      </c>
      <c r="H157" s="553">
        <v>0</v>
      </c>
      <c r="I157" s="552"/>
      <c r="J157" s="489">
        <v>21448148</v>
      </c>
      <c r="K157" s="489">
        <v>20560906.02</v>
      </c>
      <c r="L157" s="489">
        <v>4874489.05</v>
      </c>
      <c r="M157" s="490">
        <v>0.95863316590318193</v>
      </c>
      <c r="N157" s="490">
        <v>0</v>
      </c>
      <c r="O157" s="554">
        <v>0</v>
      </c>
      <c r="P157" s="551"/>
      <c r="Q157" s="552"/>
      <c r="R157" s="488">
        <v>22</v>
      </c>
      <c r="S157" s="489">
        <v>20560906.02</v>
      </c>
      <c r="T157" s="489">
        <v>4874489.05</v>
      </c>
      <c r="U157" s="490">
        <v>0.95863316590318193</v>
      </c>
      <c r="V157" s="490">
        <v>0</v>
      </c>
      <c r="W157" s="490">
        <v>0</v>
      </c>
      <c r="X157" s="488">
        <v>22</v>
      </c>
      <c r="Y157" s="489">
        <v>20560906.02</v>
      </c>
      <c r="Z157" s="489">
        <v>4874489.05</v>
      </c>
      <c r="AB157" s="490">
        <v>0.95863316590318193</v>
      </c>
      <c r="AC157" s="490">
        <v>0</v>
      </c>
      <c r="AD157" s="490">
        <v>0</v>
      </c>
      <c r="AE157" s="488">
        <v>22</v>
      </c>
      <c r="AF157" s="489">
        <v>20481049.949999999</v>
      </c>
      <c r="AG157" s="489">
        <v>4535524.3499999996</v>
      </c>
      <c r="AH157" s="490">
        <v>0.95490995073327545</v>
      </c>
      <c r="AI157" s="490">
        <v>0</v>
      </c>
      <c r="AJ157" s="490">
        <v>0</v>
      </c>
    </row>
    <row r="158" spans="2:36" ht="38.25" x14ac:dyDescent="0.25">
      <c r="B158" s="488" t="s">
        <v>311</v>
      </c>
      <c r="C158" s="488" t="s">
        <v>111</v>
      </c>
      <c r="D158" s="488" t="s">
        <v>346</v>
      </c>
      <c r="E158" s="488" t="s">
        <v>483</v>
      </c>
      <c r="F158" s="489">
        <v>1048927</v>
      </c>
      <c r="G158" s="489">
        <v>0</v>
      </c>
      <c r="H158" s="553">
        <v>0</v>
      </c>
      <c r="I158" s="552"/>
      <c r="J158" s="489">
        <v>1048927</v>
      </c>
      <c r="K158" s="489">
        <v>1048926.68</v>
      </c>
      <c r="L158" s="489">
        <v>0</v>
      </c>
      <c r="M158" s="490">
        <v>0.999999694926339</v>
      </c>
      <c r="N158" s="490">
        <v>0</v>
      </c>
      <c r="O158" s="554">
        <v>0</v>
      </c>
      <c r="P158" s="551"/>
      <c r="Q158" s="552"/>
      <c r="R158" s="488">
        <v>1</v>
      </c>
      <c r="S158" s="489">
        <v>1048926.68</v>
      </c>
      <c r="T158" s="489">
        <v>0</v>
      </c>
      <c r="U158" s="490">
        <v>0.999999694926339</v>
      </c>
      <c r="V158" s="490">
        <v>0</v>
      </c>
      <c r="W158" s="490">
        <v>0</v>
      </c>
      <c r="X158" s="488">
        <v>1</v>
      </c>
      <c r="Y158" s="489">
        <v>1048926.68</v>
      </c>
      <c r="Z158" s="489">
        <v>0</v>
      </c>
      <c r="AB158" s="490">
        <v>0.999999694926339</v>
      </c>
      <c r="AC158" s="490">
        <v>0</v>
      </c>
      <c r="AD158" s="490">
        <v>0</v>
      </c>
      <c r="AE158" s="488">
        <v>1</v>
      </c>
      <c r="AF158" s="489">
        <v>1048926.68</v>
      </c>
      <c r="AG158" s="489">
        <v>0</v>
      </c>
      <c r="AH158" s="490">
        <v>0.999999694926339</v>
      </c>
      <c r="AI158" s="490">
        <v>0</v>
      </c>
      <c r="AJ158" s="490">
        <v>0</v>
      </c>
    </row>
    <row r="159" spans="2:36" ht="76.5" x14ac:dyDescent="0.25">
      <c r="B159" s="488" t="s">
        <v>573</v>
      </c>
      <c r="C159" s="488" t="s">
        <v>574</v>
      </c>
      <c r="D159" s="488"/>
      <c r="E159" s="488"/>
      <c r="F159" s="489">
        <v>130865340</v>
      </c>
      <c r="G159" s="489">
        <v>1074024</v>
      </c>
      <c r="H159" s="553">
        <v>0</v>
      </c>
      <c r="I159" s="552"/>
      <c r="J159" s="489">
        <v>130865340</v>
      </c>
      <c r="K159" s="489">
        <v>129444598.92</v>
      </c>
      <c r="L159" s="489">
        <v>1063173.68</v>
      </c>
      <c r="M159" s="490">
        <v>0.98914348841335686</v>
      </c>
      <c r="N159" s="490">
        <v>0</v>
      </c>
      <c r="O159" s="554">
        <v>0</v>
      </c>
      <c r="P159" s="551"/>
      <c r="Q159" s="552"/>
      <c r="R159" s="488">
        <v>19</v>
      </c>
      <c r="S159" s="489">
        <v>129444598.92</v>
      </c>
      <c r="T159" s="489">
        <v>1063173.68</v>
      </c>
      <c r="U159" s="490">
        <v>0.98914348841335686</v>
      </c>
      <c r="V159" s="490">
        <v>0</v>
      </c>
      <c r="W159" s="490">
        <v>0</v>
      </c>
      <c r="X159" s="488">
        <v>19</v>
      </c>
      <c r="Y159" s="489">
        <v>129444598.92</v>
      </c>
      <c r="Z159" s="489">
        <v>1063173.68</v>
      </c>
      <c r="AB159" s="490">
        <v>0.98914348841335686</v>
      </c>
      <c r="AC159" s="490">
        <v>0</v>
      </c>
      <c r="AD159" s="490">
        <v>0</v>
      </c>
      <c r="AE159" s="488">
        <v>19</v>
      </c>
      <c r="AF159" s="489">
        <v>129444598.92</v>
      </c>
      <c r="AG159" s="489">
        <v>1063173.68</v>
      </c>
      <c r="AH159" s="490">
        <v>0.98914348841335686</v>
      </c>
      <c r="AI159" s="490">
        <v>0</v>
      </c>
      <c r="AJ159" s="490">
        <v>0</v>
      </c>
    </row>
    <row r="160" spans="2:36" ht="38.25" x14ac:dyDescent="0.25">
      <c r="B160" s="488" t="s">
        <v>446</v>
      </c>
      <c r="C160" s="488" t="s">
        <v>113</v>
      </c>
      <c r="D160" s="488" t="s">
        <v>346</v>
      </c>
      <c r="E160" s="488" t="s">
        <v>483</v>
      </c>
      <c r="F160" s="489">
        <v>27873911</v>
      </c>
      <c r="G160" s="489">
        <v>0</v>
      </c>
      <c r="H160" s="553">
        <v>0</v>
      </c>
      <c r="I160" s="552"/>
      <c r="J160" s="489">
        <v>27873911</v>
      </c>
      <c r="K160" s="489">
        <v>27675456.140000001</v>
      </c>
      <c r="L160" s="489">
        <v>0</v>
      </c>
      <c r="M160" s="490">
        <v>0.99288026499044213</v>
      </c>
      <c r="N160" s="490">
        <v>0</v>
      </c>
      <c r="O160" s="554">
        <v>0</v>
      </c>
      <c r="P160" s="551"/>
      <c r="Q160" s="552"/>
      <c r="R160" s="488">
        <v>12</v>
      </c>
      <c r="S160" s="489">
        <v>27675456.140000001</v>
      </c>
      <c r="T160" s="489">
        <v>0</v>
      </c>
      <c r="U160" s="490">
        <v>0.99288026499044213</v>
      </c>
      <c r="V160" s="490">
        <v>0</v>
      </c>
      <c r="W160" s="490">
        <v>0</v>
      </c>
      <c r="X160" s="488">
        <v>12</v>
      </c>
      <c r="Y160" s="489">
        <v>27675456.140000001</v>
      </c>
      <c r="Z160" s="489">
        <v>0</v>
      </c>
      <c r="AB160" s="490">
        <v>0.99288026499044213</v>
      </c>
      <c r="AC160" s="490">
        <v>0</v>
      </c>
      <c r="AD160" s="490">
        <v>0</v>
      </c>
      <c r="AE160" s="488">
        <v>12</v>
      </c>
      <c r="AF160" s="489">
        <v>27675456.140000001</v>
      </c>
      <c r="AG160" s="489">
        <v>0</v>
      </c>
      <c r="AH160" s="490">
        <v>0.99288026499044213</v>
      </c>
      <c r="AI160" s="490">
        <v>0</v>
      </c>
      <c r="AJ160" s="490">
        <v>0</v>
      </c>
    </row>
    <row r="161" spans="2:36" ht="38.25" x14ac:dyDescent="0.25">
      <c r="B161" s="488" t="s">
        <v>447</v>
      </c>
      <c r="C161" s="488" t="s">
        <v>575</v>
      </c>
      <c r="D161" s="488" t="s">
        <v>346</v>
      </c>
      <c r="E161" s="488" t="s">
        <v>483</v>
      </c>
      <c r="F161" s="489">
        <v>26768000</v>
      </c>
      <c r="G161" s="489">
        <v>0</v>
      </c>
      <c r="H161" s="553">
        <v>0</v>
      </c>
      <c r="I161" s="552"/>
      <c r="J161" s="489">
        <v>26768000</v>
      </c>
      <c r="K161" s="489">
        <v>26615060.350000001</v>
      </c>
      <c r="L161" s="489">
        <v>0</v>
      </c>
      <c r="M161" s="490">
        <v>0.99428647452181707</v>
      </c>
      <c r="N161" s="490">
        <v>0</v>
      </c>
      <c r="O161" s="554">
        <v>0</v>
      </c>
      <c r="P161" s="551"/>
      <c r="Q161" s="552"/>
      <c r="R161" s="488">
        <v>1</v>
      </c>
      <c r="S161" s="489">
        <v>26615060.350000001</v>
      </c>
      <c r="T161" s="489">
        <v>0</v>
      </c>
      <c r="U161" s="490">
        <v>0.99428647452181707</v>
      </c>
      <c r="V161" s="490">
        <v>0</v>
      </c>
      <c r="W161" s="490">
        <v>0</v>
      </c>
      <c r="X161" s="488">
        <v>1</v>
      </c>
      <c r="Y161" s="489">
        <v>26615060.350000001</v>
      </c>
      <c r="Z161" s="489">
        <v>0</v>
      </c>
      <c r="AB161" s="490">
        <v>0.99428647452181707</v>
      </c>
      <c r="AC161" s="490">
        <v>0</v>
      </c>
      <c r="AD161" s="490">
        <v>0</v>
      </c>
      <c r="AE161" s="488">
        <v>1</v>
      </c>
      <c r="AF161" s="489">
        <v>26615060.350000001</v>
      </c>
      <c r="AG161" s="489">
        <v>0</v>
      </c>
      <c r="AH161" s="490">
        <v>0.99428647452181707</v>
      </c>
      <c r="AI161" s="490">
        <v>0</v>
      </c>
      <c r="AJ161" s="490">
        <v>0</v>
      </c>
    </row>
    <row r="162" spans="2:36" ht="38.25" x14ac:dyDescent="0.25">
      <c r="B162" s="488" t="s">
        <v>312</v>
      </c>
      <c r="C162" s="488" t="s">
        <v>204</v>
      </c>
      <c r="D162" s="488" t="s">
        <v>346</v>
      </c>
      <c r="E162" s="488" t="s">
        <v>483</v>
      </c>
      <c r="F162" s="489">
        <v>1105911</v>
      </c>
      <c r="G162" s="489">
        <v>0</v>
      </c>
      <c r="H162" s="553">
        <v>0</v>
      </c>
      <c r="I162" s="552"/>
      <c r="J162" s="489">
        <v>1105911</v>
      </c>
      <c r="K162" s="489">
        <v>1060395.79</v>
      </c>
      <c r="L162" s="489">
        <v>0</v>
      </c>
      <c r="M162" s="490">
        <v>0.95884369537874203</v>
      </c>
      <c r="N162" s="490">
        <v>0</v>
      </c>
      <c r="O162" s="554">
        <v>0</v>
      </c>
      <c r="P162" s="551"/>
      <c r="Q162" s="552"/>
      <c r="R162" s="488">
        <v>11</v>
      </c>
      <c r="S162" s="489">
        <v>1060395.79</v>
      </c>
      <c r="T162" s="489">
        <v>0</v>
      </c>
      <c r="U162" s="490">
        <v>0.95884369537874203</v>
      </c>
      <c r="V162" s="490">
        <v>0</v>
      </c>
      <c r="W162" s="490">
        <v>0</v>
      </c>
      <c r="X162" s="488">
        <v>11</v>
      </c>
      <c r="Y162" s="489">
        <v>1060395.79</v>
      </c>
      <c r="Z162" s="489">
        <v>0</v>
      </c>
      <c r="AB162" s="490">
        <v>0.95884369537874203</v>
      </c>
      <c r="AC162" s="490">
        <v>0</v>
      </c>
      <c r="AD162" s="490">
        <v>0</v>
      </c>
      <c r="AE162" s="488">
        <v>11</v>
      </c>
      <c r="AF162" s="489">
        <v>1060395.79</v>
      </c>
      <c r="AG162" s="489">
        <v>0</v>
      </c>
      <c r="AH162" s="490">
        <v>0.95884369537874203</v>
      </c>
      <c r="AI162" s="490">
        <v>0</v>
      </c>
      <c r="AJ162" s="490">
        <v>0</v>
      </c>
    </row>
    <row r="163" spans="2:36" ht="38.25" x14ac:dyDescent="0.25">
      <c r="B163" s="488" t="s">
        <v>448</v>
      </c>
      <c r="C163" s="488" t="s">
        <v>576</v>
      </c>
      <c r="D163" s="488" t="s">
        <v>346</v>
      </c>
      <c r="E163" s="488" t="s">
        <v>483</v>
      </c>
      <c r="F163" s="489">
        <v>34361700</v>
      </c>
      <c r="G163" s="489">
        <v>0</v>
      </c>
      <c r="H163" s="553">
        <v>0</v>
      </c>
      <c r="I163" s="552"/>
      <c r="J163" s="489">
        <v>34361700</v>
      </c>
      <c r="K163" s="489">
        <v>33985944.43</v>
      </c>
      <c r="L163" s="489">
        <v>0</v>
      </c>
      <c r="M163" s="490">
        <v>0.9890646979049349</v>
      </c>
      <c r="N163" s="490">
        <v>0</v>
      </c>
      <c r="O163" s="554">
        <v>0</v>
      </c>
      <c r="P163" s="551"/>
      <c r="Q163" s="552"/>
      <c r="R163" s="488">
        <v>2</v>
      </c>
      <c r="S163" s="489">
        <v>33985944.43</v>
      </c>
      <c r="T163" s="489">
        <v>0</v>
      </c>
      <c r="U163" s="490">
        <v>0.9890646979049349</v>
      </c>
      <c r="V163" s="490">
        <v>0</v>
      </c>
      <c r="W163" s="490">
        <v>0</v>
      </c>
      <c r="X163" s="488">
        <v>2</v>
      </c>
      <c r="Y163" s="489">
        <v>33985944.43</v>
      </c>
      <c r="Z163" s="489">
        <v>0</v>
      </c>
      <c r="AB163" s="490">
        <v>0.9890646979049349</v>
      </c>
      <c r="AC163" s="490">
        <v>0</v>
      </c>
      <c r="AD163" s="490">
        <v>0</v>
      </c>
      <c r="AE163" s="488">
        <v>2</v>
      </c>
      <c r="AF163" s="489">
        <v>33985944.43</v>
      </c>
      <c r="AG163" s="489">
        <v>0</v>
      </c>
      <c r="AH163" s="490">
        <v>0.9890646979049349</v>
      </c>
      <c r="AI163" s="490">
        <v>0</v>
      </c>
      <c r="AJ163" s="490">
        <v>0</v>
      </c>
    </row>
    <row r="164" spans="2:36" ht="38.25" x14ac:dyDescent="0.25">
      <c r="B164" s="488" t="s">
        <v>313</v>
      </c>
      <c r="C164" s="488" t="s">
        <v>577</v>
      </c>
      <c r="D164" s="488" t="s">
        <v>346</v>
      </c>
      <c r="E164" s="488" t="s">
        <v>483</v>
      </c>
      <c r="F164" s="489">
        <v>3585597</v>
      </c>
      <c r="G164" s="489">
        <v>0</v>
      </c>
      <c r="H164" s="553">
        <v>0</v>
      </c>
      <c r="I164" s="552"/>
      <c r="J164" s="489">
        <v>3585597</v>
      </c>
      <c r="K164" s="489">
        <v>3555368.62</v>
      </c>
      <c r="L164" s="489">
        <v>0</v>
      </c>
      <c r="M164" s="490">
        <v>0.99156949874734945</v>
      </c>
      <c r="N164" s="490">
        <v>0</v>
      </c>
      <c r="O164" s="554">
        <v>0</v>
      </c>
      <c r="P164" s="551"/>
      <c r="Q164" s="552"/>
      <c r="R164" s="488">
        <v>1</v>
      </c>
      <c r="S164" s="489">
        <v>3555368.62</v>
      </c>
      <c r="T164" s="489">
        <v>0</v>
      </c>
      <c r="U164" s="490">
        <v>0.99156949874734945</v>
      </c>
      <c r="V164" s="490">
        <v>0</v>
      </c>
      <c r="W164" s="490">
        <v>0</v>
      </c>
      <c r="X164" s="488">
        <v>1</v>
      </c>
      <c r="Y164" s="489">
        <v>3555368.62</v>
      </c>
      <c r="Z164" s="489">
        <v>0</v>
      </c>
      <c r="AB164" s="490">
        <v>0.99156949874734945</v>
      </c>
      <c r="AC164" s="490">
        <v>0</v>
      </c>
      <c r="AD164" s="490">
        <v>0</v>
      </c>
      <c r="AE164" s="488">
        <v>1</v>
      </c>
      <c r="AF164" s="489">
        <v>3555368.62</v>
      </c>
      <c r="AG164" s="489">
        <v>0</v>
      </c>
      <c r="AH164" s="490">
        <v>0.99156949874734945</v>
      </c>
      <c r="AI164" s="490">
        <v>0</v>
      </c>
      <c r="AJ164" s="490">
        <v>0</v>
      </c>
    </row>
    <row r="165" spans="2:36" ht="38.25" x14ac:dyDescent="0.25">
      <c r="B165" s="488" t="s">
        <v>314</v>
      </c>
      <c r="C165" s="488" t="s">
        <v>206</v>
      </c>
      <c r="D165" s="488" t="s">
        <v>346</v>
      </c>
      <c r="E165" s="488" t="s">
        <v>483</v>
      </c>
      <c r="F165" s="489">
        <v>30776103</v>
      </c>
      <c r="G165" s="489">
        <v>0</v>
      </c>
      <c r="H165" s="553">
        <v>0</v>
      </c>
      <c r="I165" s="552"/>
      <c r="J165" s="489">
        <v>30776103</v>
      </c>
      <c r="K165" s="489">
        <v>30430575.809999999</v>
      </c>
      <c r="L165" s="489">
        <v>0</v>
      </c>
      <c r="M165" s="490">
        <v>0.98877287387555213</v>
      </c>
      <c r="N165" s="490">
        <v>0</v>
      </c>
      <c r="O165" s="554">
        <v>0</v>
      </c>
      <c r="P165" s="551"/>
      <c r="Q165" s="552"/>
      <c r="R165" s="488">
        <v>1</v>
      </c>
      <c r="S165" s="489">
        <v>30430575.809999999</v>
      </c>
      <c r="T165" s="489">
        <v>0</v>
      </c>
      <c r="U165" s="490">
        <v>0.98877287387555213</v>
      </c>
      <c r="V165" s="490">
        <v>0</v>
      </c>
      <c r="W165" s="490">
        <v>0</v>
      </c>
      <c r="X165" s="488">
        <v>1</v>
      </c>
      <c r="Y165" s="489">
        <v>30430575.809999999</v>
      </c>
      <c r="Z165" s="489">
        <v>0</v>
      </c>
      <c r="AB165" s="490">
        <v>0.98877287387555213</v>
      </c>
      <c r="AC165" s="490">
        <v>0</v>
      </c>
      <c r="AD165" s="490">
        <v>0</v>
      </c>
      <c r="AE165" s="488">
        <v>1</v>
      </c>
      <c r="AF165" s="489">
        <v>30430575.809999999</v>
      </c>
      <c r="AG165" s="489">
        <v>0</v>
      </c>
      <c r="AH165" s="490">
        <v>0.98877287387555213</v>
      </c>
      <c r="AI165" s="490">
        <v>0</v>
      </c>
      <c r="AJ165" s="490">
        <v>0</v>
      </c>
    </row>
    <row r="166" spans="2:36" ht="63.75" x14ac:dyDescent="0.25">
      <c r="B166" s="488" t="s">
        <v>315</v>
      </c>
      <c r="C166" s="488" t="s">
        <v>1533</v>
      </c>
      <c r="D166" s="488" t="s">
        <v>346</v>
      </c>
      <c r="E166" s="488" t="s">
        <v>483</v>
      </c>
      <c r="F166" s="489">
        <v>8265304</v>
      </c>
      <c r="G166" s="489">
        <v>1074024</v>
      </c>
      <c r="H166" s="553">
        <v>0</v>
      </c>
      <c r="I166" s="552"/>
      <c r="J166" s="489">
        <v>8265304</v>
      </c>
      <c r="K166" s="489">
        <v>8235260.0999999996</v>
      </c>
      <c r="L166" s="489">
        <v>1063173.68</v>
      </c>
      <c r="M166" s="490">
        <v>0.9963650580789285</v>
      </c>
      <c r="N166" s="490">
        <v>0</v>
      </c>
      <c r="O166" s="554">
        <v>0</v>
      </c>
      <c r="P166" s="551"/>
      <c r="Q166" s="552"/>
      <c r="R166" s="488">
        <v>1</v>
      </c>
      <c r="S166" s="489">
        <v>8235260.0999999996</v>
      </c>
      <c r="T166" s="489">
        <v>1063173.68</v>
      </c>
      <c r="U166" s="490">
        <v>0.9963650580789285</v>
      </c>
      <c r="V166" s="490">
        <v>0</v>
      </c>
      <c r="W166" s="490">
        <v>0</v>
      </c>
      <c r="X166" s="488">
        <v>1</v>
      </c>
      <c r="Y166" s="489">
        <v>8235260.0999999996</v>
      </c>
      <c r="Z166" s="489">
        <v>1063173.68</v>
      </c>
      <c r="AB166" s="490">
        <v>0.9963650580789285</v>
      </c>
      <c r="AC166" s="490">
        <v>0</v>
      </c>
      <c r="AD166" s="490">
        <v>0</v>
      </c>
      <c r="AE166" s="488">
        <v>1</v>
      </c>
      <c r="AF166" s="489">
        <v>8235260.0999999996</v>
      </c>
      <c r="AG166" s="489">
        <v>1063173.68</v>
      </c>
      <c r="AH166" s="490">
        <v>0.9963650580789285</v>
      </c>
      <c r="AI166" s="490">
        <v>0</v>
      </c>
      <c r="AJ166" s="490">
        <v>0</v>
      </c>
    </row>
    <row r="167" spans="2:36" ht="38.25" x14ac:dyDescent="0.25">
      <c r="B167" s="488" t="s">
        <v>316</v>
      </c>
      <c r="C167" s="488" t="s">
        <v>116</v>
      </c>
      <c r="D167" s="488" t="s">
        <v>346</v>
      </c>
      <c r="E167" s="488" t="s">
        <v>483</v>
      </c>
      <c r="F167" s="489">
        <v>30727948</v>
      </c>
      <c r="G167" s="489">
        <v>0</v>
      </c>
      <c r="H167" s="553">
        <v>0</v>
      </c>
      <c r="I167" s="552"/>
      <c r="J167" s="489">
        <v>30727948</v>
      </c>
      <c r="K167" s="489">
        <v>30166486.23</v>
      </c>
      <c r="L167" s="489">
        <v>0</v>
      </c>
      <c r="M167" s="490">
        <v>0.9817279770845746</v>
      </c>
      <c r="N167" s="490">
        <v>0</v>
      </c>
      <c r="O167" s="554">
        <v>0</v>
      </c>
      <c r="P167" s="551"/>
      <c r="Q167" s="552"/>
      <c r="R167" s="488">
        <v>1</v>
      </c>
      <c r="S167" s="489">
        <v>30166486.23</v>
      </c>
      <c r="T167" s="489">
        <v>0</v>
      </c>
      <c r="U167" s="490">
        <v>0.9817279770845746</v>
      </c>
      <c r="V167" s="490">
        <v>0</v>
      </c>
      <c r="W167" s="490">
        <v>0</v>
      </c>
      <c r="X167" s="488">
        <v>1</v>
      </c>
      <c r="Y167" s="489">
        <v>30166486.23</v>
      </c>
      <c r="Z167" s="489">
        <v>0</v>
      </c>
      <c r="AB167" s="490">
        <v>0.9817279770845746</v>
      </c>
      <c r="AC167" s="490">
        <v>0</v>
      </c>
      <c r="AD167" s="490">
        <v>0</v>
      </c>
      <c r="AE167" s="488">
        <v>1</v>
      </c>
      <c r="AF167" s="489">
        <v>30166486.23</v>
      </c>
      <c r="AG167" s="489">
        <v>0</v>
      </c>
      <c r="AH167" s="490">
        <v>0.9817279770845746</v>
      </c>
      <c r="AI167" s="490">
        <v>0</v>
      </c>
      <c r="AJ167" s="490">
        <v>0</v>
      </c>
    </row>
    <row r="168" spans="2:36" ht="38.25" x14ac:dyDescent="0.25">
      <c r="B168" s="488" t="s">
        <v>317</v>
      </c>
      <c r="C168" s="488" t="s">
        <v>117</v>
      </c>
      <c r="D168" s="488" t="s">
        <v>346</v>
      </c>
      <c r="E168" s="488" t="s">
        <v>483</v>
      </c>
      <c r="F168" s="489">
        <v>20075865</v>
      </c>
      <c r="G168" s="489">
        <v>0</v>
      </c>
      <c r="H168" s="553">
        <v>0</v>
      </c>
      <c r="I168" s="552"/>
      <c r="J168" s="489">
        <v>20075865</v>
      </c>
      <c r="K168" s="489">
        <v>19942396.420000002</v>
      </c>
      <c r="L168" s="489">
        <v>0</v>
      </c>
      <c r="M168" s="490">
        <v>0.99335178932514245</v>
      </c>
      <c r="N168" s="490">
        <v>0</v>
      </c>
      <c r="O168" s="554">
        <v>0</v>
      </c>
      <c r="P168" s="551"/>
      <c r="Q168" s="552"/>
      <c r="R168" s="488">
        <v>1</v>
      </c>
      <c r="S168" s="489">
        <v>19942396.420000002</v>
      </c>
      <c r="T168" s="489">
        <v>0</v>
      </c>
      <c r="U168" s="490">
        <v>0.99335178932514245</v>
      </c>
      <c r="V168" s="490">
        <v>0</v>
      </c>
      <c r="W168" s="490">
        <v>0</v>
      </c>
      <c r="X168" s="488">
        <v>1</v>
      </c>
      <c r="Y168" s="489">
        <v>19942396.420000002</v>
      </c>
      <c r="Z168" s="489">
        <v>0</v>
      </c>
      <c r="AB168" s="490">
        <v>0.99335178932514245</v>
      </c>
      <c r="AC168" s="490">
        <v>0</v>
      </c>
      <c r="AD168" s="490">
        <v>0</v>
      </c>
      <c r="AE168" s="488">
        <v>1</v>
      </c>
      <c r="AF168" s="489">
        <v>19942396.420000002</v>
      </c>
      <c r="AG168" s="489">
        <v>0</v>
      </c>
      <c r="AH168" s="490">
        <v>0.99335178932514245</v>
      </c>
      <c r="AI168" s="490">
        <v>0</v>
      </c>
      <c r="AJ168" s="490">
        <v>0</v>
      </c>
    </row>
    <row r="169" spans="2:36" ht="38.25" x14ac:dyDescent="0.25">
      <c r="B169" s="488" t="s">
        <v>449</v>
      </c>
      <c r="C169" s="488" t="s">
        <v>118</v>
      </c>
      <c r="D169" s="488" t="s">
        <v>346</v>
      </c>
      <c r="E169" s="488" t="s">
        <v>483</v>
      </c>
      <c r="F169" s="489">
        <v>9560612</v>
      </c>
      <c r="G169" s="489">
        <v>0</v>
      </c>
      <c r="H169" s="553">
        <v>0</v>
      </c>
      <c r="I169" s="552"/>
      <c r="J169" s="489">
        <v>9560612</v>
      </c>
      <c r="K169" s="489">
        <v>9439055.5999999996</v>
      </c>
      <c r="L169" s="489">
        <v>0</v>
      </c>
      <c r="M169" s="490">
        <v>0.98728570932488424</v>
      </c>
      <c r="N169" s="490">
        <v>0</v>
      </c>
      <c r="O169" s="554">
        <v>0</v>
      </c>
      <c r="P169" s="551"/>
      <c r="Q169" s="552"/>
      <c r="R169" s="488">
        <v>2</v>
      </c>
      <c r="S169" s="489">
        <v>9439055.5999999996</v>
      </c>
      <c r="T169" s="489">
        <v>0</v>
      </c>
      <c r="U169" s="490">
        <v>0.98728570932488424</v>
      </c>
      <c r="V169" s="490">
        <v>0</v>
      </c>
      <c r="W169" s="490">
        <v>0</v>
      </c>
      <c r="X169" s="488">
        <v>2</v>
      </c>
      <c r="Y169" s="489">
        <v>9439055.5999999996</v>
      </c>
      <c r="Z169" s="489">
        <v>0</v>
      </c>
      <c r="AB169" s="490">
        <v>0.98728570932488424</v>
      </c>
      <c r="AC169" s="490">
        <v>0</v>
      </c>
      <c r="AD169" s="490">
        <v>0</v>
      </c>
      <c r="AE169" s="488">
        <v>2</v>
      </c>
      <c r="AF169" s="489">
        <v>9439055.5999999996</v>
      </c>
      <c r="AG169" s="489">
        <v>0</v>
      </c>
      <c r="AH169" s="490">
        <v>0.98728570932488424</v>
      </c>
      <c r="AI169" s="490">
        <v>0</v>
      </c>
      <c r="AJ169" s="490">
        <v>0</v>
      </c>
    </row>
    <row r="170" spans="2:36" ht="38.25" x14ac:dyDescent="0.25">
      <c r="B170" s="488" t="s">
        <v>318</v>
      </c>
      <c r="C170" s="488" t="s">
        <v>578</v>
      </c>
      <c r="D170" s="488" t="s">
        <v>346</v>
      </c>
      <c r="E170" s="488" t="s">
        <v>483</v>
      </c>
      <c r="F170" s="489">
        <v>5765907</v>
      </c>
      <c r="G170" s="489">
        <v>0</v>
      </c>
      <c r="H170" s="553">
        <v>0</v>
      </c>
      <c r="I170" s="552"/>
      <c r="J170" s="489">
        <v>5765907</v>
      </c>
      <c r="K170" s="489">
        <v>5732007.0999999996</v>
      </c>
      <c r="L170" s="489">
        <v>0</v>
      </c>
      <c r="M170" s="490">
        <v>0.99412063011075269</v>
      </c>
      <c r="N170" s="490">
        <v>0</v>
      </c>
      <c r="O170" s="554">
        <v>0</v>
      </c>
      <c r="P170" s="551"/>
      <c r="Q170" s="552"/>
      <c r="R170" s="488">
        <v>1</v>
      </c>
      <c r="S170" s="489">
        <v>5732007.0999999996</v>
      </c>
      <c r="T170" s="489">
        <v>0</v>
      </c>
      <c r="U170" s="490">
        <v>0.99412063011075269</v>
      </c>
      <c r="V170" s="490">
        <v>0</v>
      </c>
      <c r="W170" s="490">
        <v>0</v>
      </c>
      <c r="X170" s="488">
        <v>1</v>
      </c>
      <c r="Y170" s="489">
        <v>5732007.0999999996</v>
      </c>
      <c r="Z170" s="489">
        <v>0</v>
      </c>
      <c r="AB170" s="490">
        <v>0.99412063011075269</v>
      </c>
      <c r="AC170" s="490">
        <v>0</v>
      </c>
      <c r="AD170" s="490">
        <v>0</v>
      </c>
      <c r="AE170" s="488">
        <v>1</v>
      </c>
      <c r="AF170" s="489">
        <v>5732007.0999999996</v>
      </c>
      <c r="AG170" s="489">
        <v>0</v>
      </c>
      <c r="AH170" s="490">
        <v>0.99412063011075269</v>
      </c>
      <c r="AI170" s="490">
        <v>0</v>
      </c>
      <c r="AJ170" s="490">
        <v>0</v>
      </c>
    </row>
    <row r="171" spans="2:36" ht="38.25" x14ac:dyDescent="0.25">
      <c r="B171" s="488" t="s">
        <v>319</v>
      </c>
      <c r="C171" s="488" t="s">
        <v>208</v>
      </c>
      <c r="D171" s="488" t="s">
        <v>346</v>
      </c>
      <c r="E171" s="488" t="s">
        <v>483</v>
      </c>
      <c r="F171" s="489">
        <v>3794705</v>
      </c>
      <c r="G171" s="489">
        <v>0</v>
      </c>
      <c r="H171" s="553">
        <v>0</v>
      </c>
      <c r="I171" s="552"/>
      <c r="J171" s="489">
        <v>3794705</v>
      </c>
      <c r="K171" s="489">
        <v>3707048.5</v>
      </c>
      <c r="L171" s="489">
        <v>0</v>
      </c>
      <c r="M171" s="490">
        <v>0.97690031240900144</v>
      </c>
      <c r="N171" s="490">
        <v>0</v>
      </c>
      <c r="O171" s="554">
        <v>0</v>
      </c>
      <c r="P171" s="551"/>
      <c r="Q171" s="552"/>
      <c r="R171" s="488">
        <v>1</v>
      </c>
      <c r="S171" s="489">
        <v>3707048.5</v>
      </c>
      <c r="T171" s="489">
        <v>0</v>
      </c>
      <c r="U171" s="490">
        <v>0.97690031240900144</v>
      </c>
      <c r="V171" s="490">
        <v>0</v>
      </c>
      <c r="W171" s="490">
        <v>0</v>
      </c>
      <c r="X171" s="488">
        <v>1</v>
      </c>
      <c r="Y171" s="489">
        <v>3707048.5</v>
      </c>
      <c r="Z171" s="489">
        <v>0</v>
      </c>
      <c r="AB171" s="490">
        <v>0.97690031240900144</v>
      </c>
      <c r="AC171" s="490">
        <v>0</v>
      </c>
      <c r="AD171" s="490">
        <v>0</v>
      </c>
      <c r="AE171" s="488">
        <v>1</v>
      </c>
      <c r="AF171" s="489">
        <v>3707048.5</v>
      </c>
      <c r="AG171" s="489">
        <v>0</v>
      </c>
      <c r="AH171" s="490">
        <v>0.97690031240900144</v>
      </c>
      <c r="AI171" s="490">
        <v>0</v>
      </c>
      <c r="AJ171" s="490">
        <v>0</v>
      </c>
    </row>
    <row r="172" spans="2:36" ht="76.5" x14ac:dyDescent="0.25">
      <c r="B172" s="488" t="s">
        <v>579</v>
      </c>
      <c r="C172" s="488" t="s">
        <v>580</v>
      </c>
      <c r="D172" s="488"/>
      <c r="E172" s="488"/>
      <c r="F172" s="489">
        <v>37406057</v>
      </c>
      <c r="G172" s="489">
        <v>0</v>
      </c>
      <c r="H172" s="553">
        <v>0</v>
      </c>
      <c r="I172" s="552"/>
      <c r="J172" s="489">
        <v>37406057</v>
      </c>
      <c r="K172" s="489">
        <v>36926055.189999998</v>
      </c>
      <c r="L172" s="489">
        <v>0</v>
      </c>
      <c r="M172" s="490">
        <v>0.98716780520331238</v>
      </c>
      <c r="N172" s="490">
        <v>0</v>
      </c>
      <c r="O172" s="554">
        <v>0</v>
      </c>
      <c r="P172" s="551"/>
      <c r="Q172" s="552"/>
      <c r="R172" s="488">
        <v>1</v>
      </c>
      <c r="S172" s="489">
        <v>36926055.189999998</v>
      </c>
      <c r="T172" s="489">
        <v>0</v>
      </c>
      <c r="U172" s="490">
        <v>0.98716780520331238</v>
      </c>
      <c r="V172" s="490">
        <v>0</v>
      </c>
      <c r="W172" s="490">
        <v>0</v>
      </c>
      <c r="X172" s="488">
        <v>1</v>
      </c>
      <c r="Y172" s="489">
        <v>36926055.189999998</v>
      </c>
      <c r="Z172" s="489">
        <v>0</v>
      </c>
      <c r="AB172" s="490">
        <v>0.98716780520331238</v>
      </c>
      <c r="AC172" s="490">
        <v>0</v>
      </c>
      <c r="AD172" s="490">
        <v>0</v>
      </c>
      <c r="AE172" s="488">
        <v>1</v>
      </c>
      <c r="AF172" s="489">
        <v>36926055.189999998</v>
      </c>
      <c r="AG172" s="489">
        <v>0</v>
      </c>
      <c r="AH172" s="490">
        <v>0.98716780520331238</v>
      </c>
      <c r="AI172" s="490">
        <v>0</v>
      </c>
      <c r="AJ172" s="490">
        <v>0</v>
      </c>
    </row>
    <row r="173" spans="2:36" ht="38.25" x14ac:dyDescent="0.25">
      <c r="B173" s="488" t="s">
        <v>450</v>
      </c>
      <c r="C173" s="488" t="s">
        <v>415</v>
      </c>
      <c r="D173" s="488" t="s">
        <v>346</v>
      </c>
      <c r="E173" s="488" t="s">
        <v>483</v>
      </c>
      <c r="F173" s="489">
        <v>37406057</v>
      </c>
      <c r="G173" s="489">
        <v>0</v>
      </c>
      <c r="H173" s="553">
        <v>0</v>
      </c>
      <c r="I173" s="552"/>
      <c r="J173" s="489">
        <v>37406057</v>
      </c>
      <c r="K173" s="489">
        <v>36926055.189999998</v>
      </c>
      <c r="L173" s="489">
        <v>0</v>
      </c>
      <c r="M173" s="490">
        <v>0.98716780520331238</v>
      </c>
      <c r="N173" s="490">
        <v>0</v>
      </c>
      <c r="O173" s="554">
        <v>0</v>
      </c>
      <c r="P173" s="551"/>
      <c r="Q173" s="552"/>
      <c r="R173" s="488">
        <v>1</v>
      </c>
      <c r="S173" s="489">
        <v>36926055.189999998</v>
      </c>
      <c r="T173" s="489">
        <v>0</v>
      </c>
      <c r="U173" s="490">
        <v>0.98716780520331238</v>
      </c>
      <c r="V173" s="490">
        <v>0</v>
      </c>
      <c r="W173" s="490">
        <v>0</v>
      </c>
      <c r="X173" s="488">
        <v>1</v>
      </c>
      <c r="Y173" s="489">
        <v>36926055.189999998</v>
      </c>
      <c r="Z173" s="489">
        <v>0</v>
      </c>
      <c r="AB173" s="490">
        <v>0.98716780520331238</v>
      </c>
      <c r="AC173" s="490">
        <v>0</v>
      </c>
      <c r="AD173" s="490">
        <v>0</v>
      </c>
      <c r="AE173" s="488">
        <v>1</v>
      </c>
      <c r="AF173" s="489">
        <v>36926055.189999998</v>
      </c>
      <c r="AG173" s="489">
        <v>0</v>
      </c>
      <c r="AH173" s="490">
        <v>0.98716780520331238</v>
      </c>
      <c r="AI173" s="490">
        <v>0</v>
      </c>
      <c r="AJ173" s="490">
        <v>0</v>
      </c>
    </row>
    <row r="174" spans="2:36" ht="102" x14ac:dyDescent="0.25">
      <c r="B174" s="488" t="s">
        <v>581</v>
      </c>
      <c r="C174" s="488" t="s">
        <v>582</v>
      </c>
      <c r="D174" s="488"/>
      <c r="E174" s="488"/>
      <c r="F174" s="489">
        <v>29845423</v>
      </c>
      <c r="G174" s="489">
        <v>0</v>
      </c>
      <c r="H174" s="553">
        <v>0</v>
      </c>
      <c r="I174" s="552"/>
      <c r="J174" s="489">
        <v>29845423</v>
      </c>
      <c r="K174" s="489">
        <v>29560138.41</v>
      </c>
      <c r="L174" s="489">
        <v>0</v>
      </c>
      <c r="M174" s="490">
        <v>0.99044126162996582</v>
      </c>
      <c r="N174" s="490">
        <v>0</v>
      </c>
      <c r="O174" s="554">
        <v>0</v>
      </c>
      <c r="P174" s="551"/>
      <c r="Q174" s="552"/>
      <c r="R174" s="488">
        <v>3</v>
      </c>
      <c r="S174" s="489">
        <v>29560138.41</v>
      </c>
      <c r="T174" s="489">
        <v>0</v>
      </c>
      <c r="U174" s="490">
        <v>0.99044126162996582</v>
      </c>
      <c r="V174" s="490">
        <v>0</v>
      </c>
      <c r="W174" s="490">
        <v>0</v>
      </c>
      <c r="X174" s="488">
        <v>3</v>
      </c>
      <c r="Y174" s="489">
        <v>29560138.41</v>
      </c>
      <c r="Z174" s="489">
        <v>0</v>
      </c>
      <c r="AB174" s="490">
        <v>0.99044126162996582</v>
      </c>
      <c r="AC174" s="490">
        <v>0</v>
      </c>
      <c r="AD174" s="490">
        <v>0</v>
      </c>
      <c r="AE174" s="488">
        <v>3</v>
      </c>
      <c r="AF174" s="489">
        <v>29560138.41</v>
      </c>
      <c r="AG174" s="489">
        <v>0</v>
      </c>
      <c r="AH174" s="490">
        <v>0.99044126162996582</v>
      </c>
      <c r="AI174" s="490">
        <v>0</v>
      </c>
      <c r="AJ174" s="490">
        <v>0</v>
      </c>
    </row>
    <row r="175" spans="2:36" ht="38.25" x14ac:dyDescent="0.25">
      <c r="B175" s="488" t="s">
        <v>320</v>
      </c>
      <c r="C175" s="488" t="s">
        <v>124</v>
      </c>
      <c r="D175" s="488" t="s">
        <v>346</v>
      </c>
      <c r="E175" s="488" t="s">
        <v>483</v>
      </c>
      <c r="F175" s="489">
        <v>13642147</v>
      </c>
      <c r="G175" s="489">
        <v>0</v>
      </c>
      <c r="H175" s="553">
        <v>0</v>
      </c>
      <c r="I175" s="552"/>
      <c r="J175" s="489">
        <v>13642147</v>
      </c>
      <c r="K175" s="489">
        <v>13622344.84</v>
      </c>
      <c r="L175" s="489">
        <v>0</v>
      </c>
      <c r="M175" s="490">
        <v>0.99854845721864749</v>
      </c>
      <c r="N175" s="490">
        <v>0</v>
      </c>
      <c r="O175" s="554">
        <v>0</v>
      </c>
      <c r="P175" s="551"/>
      <c r="Q175" s="552"/>
      <c r="R175" s="488">
        <v>1</v>
      </c>
      <c r="S175" s="489">
        <v>13622344.84</v>
      </c>
      <c r="T175" s="489">
        <v>0</v>
      </c>
      <c r="U175" s="490">
        <v>0.99854845721864749</v>
      </c>
      <c r="V175" s="490">
        <v>0</v>
      </c>
      <c r="W175" s="490">
        <v>0</v>
      </c>
      <c r="X175" s="488">
        <v>1</v>
      </c>
      <c r="Y175" s="489">
        <v>13622344.84</v>
      </c>
      <c r="Z175" s="489">
        <v>0</v>
      </c>
      <c r="AB175" s="490">
        <v>0.99854845721864749</v>
      </c>
      <c r="AC175" s="490">
        <v>0</v>
      </c>
      <c r="AD175" s="490">
        <v>0</v>
      </c>
      <c r="AE175" s="488">
        <v>1</v>
      </c>
      <c r="AF175" s="489">
        <v>13622344.84</v>
      </c>
      <c r="AG175" s="489">
        <v>0</v>
      </c>
      <c r="AH175" s="490">
        <v>0.99854845721864749</v>
      </c>
      <c r="AI175" s="490">
        <v>0</v>
      </c>
      <c r="AJ175" s="490">
        <v>0</v>
      </c>
    </row>
    <row r="176" spans="2:36" ht="38.25" x14ac:dyDescent="0.25">
      <c r="B176" s="488" t="s">
        <v>321</v>
      </c>
      <c r="C176" s="488" t="s">
        <v>125</v>
      </c>
      <c r="D176" s="488" t="s">
        <v>346</v>
      </c>
      <c r="E176" s="488" t="s">
        <v>483</v>
      </c>
      <c r="F176" s="489">
        <v>10686696</v>
      </c>
      <c r="G176" s="489">
        <v>0</v>
      </c>
      <c r="H176" s="553">
        <v>0</v>
      </c>
      <c r="I176" s="552"/>
      <c r="J176" s="489">
        <v>10686696</v>
      </c>
      <c r="K176" s="489">
        <v>10615913.76</v>
      </c>
      <c r="L176" s="489">
        <v>0</v>
      </c>
      <c r="M176" s="490">
        <v>0.9933766020854341</v>
      </c>
      <c r="N176" s="490">
        <v>0</v>
      </c>
      <c r="O176" s="554">
        <v>0</v>
      </c>
      <c r="P176" s="551"/>
      <c r="Q176" s="552"/>
      <c r="R176" s="488">
        <v>1</v>
      </c>
      <c r="S176" s="489">
        <v>10615913.76</v>
      </c>
      <c r="T176" s="489">
        <v>0</v>
      </c>
      <c r="U176" s="490">
        <v>0.9933766020854341</v>
      </c>
      <c r="V176" s="490">
        <v>0</v>
      </c>
      <c r="W176" s="490">
        <v>0</v>
      </c>
      <c r="X176" s="488">
        <v>1</v>
      </c>
      <c r="Y176" s="489">
        <v>10615913.76</v>
      </c>
      <c r="Z176" s="489">
        <v>0</v>
      </c>
      <c r="AB176" s="490">
        <v>0.9933766020854341</v>
      </c>
      <c r="AC176" s="490">
        <v>0</v>
      </c>
      <c r="AD176" s="490">
        <v>0</v>
      </c>
      <c r="AE176" s="488">
        <v>1</v>
      </c>
      <c r="AF176" s="489">
        <v>10615913.76</v>
      </c>
      <c r="AG176" s="489">
        <v>0</v>
      </c>
      <c r="AH176" s="490">
        <v>0.9933766020854341</v>
      </c>
      <c r="AI176" s="490">
        <v>0</v>
      </c>
      <c r="AJ176" s="490">
        <v>0</v>
      </c>
    </row>
    <row r="177" spans="2:36" ht="38.25" x14ac:dyDescent="0.25">
      <c r="B177" s="488" t="s">
        <v>322</v>
      </c>
      <c r="C177" s="488" t="s">
        <v>126</v>
      </c>
      <c r="D177" s="488" t="s">
        <v>346</v>
      </c>
      <c r="E177" s="488" t="s">
        <v>483</v>
      </c>
      <c r="F177" s="489">
        <v>5516580</v>
      </c>
      <c r="G177" s="489">
        <v>0</v>
      </c>
      <c r="H177" s="553">
        <v>0</v>
      </c>
      <c r="I177" s="552"/>
      <c r="J177" s="489">
        <v>5516580</v>
      </c>
      <c r="K177" s="489">
        <v>5321879.8099999996</v>
      </c>
      <c r="L177" s="489">
        <v>0</v>
      </c>
      <c r="M177" s="490">
        <v>0.96470635973737351</v>
      </c>
      <c r="N177" s="490">
        <v>0</v>
      </c>
      <c r="O177" s="554">
        <v>0</v>
      </c>
      <c r="P177" s="551"/>
      <c r="Q177" s="552"/>
      <c r="R177" s="488">
        <v>1</v>
      </c>
      <c r="S177" s="489">
        <v>5321879.8099999996</v>
      </c>
      <c r="T177" s="489">
        <v>0</v>
      </c>
      <c r="U177" s="490">
        <v>0.96470635973737351</v>
      </c>
      <c r="V177" s="490">
        <v>0</v>
      </c>
      <c r="W177" s="490">
        <v>0</v>
      </c>
      <c r="X177" s="488">
        <v>1</v>
      </c>
      <c r="Y177" s="489">
        <v>5321879.8099999996</v>
      </c>
      <c r="Z177" s="489">
        <v>0</v>
      </c>
      <c r="AB177" s="490">
        <v>0.96470635973737351</v>
      </c>
      <c r="AC177" s="490">
        <v>0</v>
      </c>
      <c r="AD177" s="490">
        <v>0</v>
      </c>
      <c r="AE177" s="488">
        <v>1</v>
      </c>
      <c r="AF177" s="489">
        <v>5321879.8099999996</v>
      </c>
      <c r="AG177" s="489">
        <v>0</v>
      </c>
      <c r="AH177" s="490">
        <v>0.96470635973737351</v>
      </c>
      <c r="AI177" s="490">
        <v>0</v>
      </c>
      <c r="AJ177" s="490">
        <v>0</v>
      </c>
    </row>
    <row r="178" spans="2:36" x14ac:dyDescent="0.25">
      <c r="B178" s="485" t="s">
        <v>323</v>
      </c>
      <c r="C178" s="485" t="s">
        <v>130</v>
      </c>
      <c r="D178" s="485"/>
      <c r="E178" s="485"/>
      <c r="F178" s="486">
        <v>498622904</v>
      </c>
      <c r="G178" s="486">
        <v>55833116</v>
      </c>
      <c r="H178" s="555">
        <v>14530393</v>
      </c>
      <c r="I178" s="552"/>
      <c r="J178" s="486">
        <v>513153297</v>
      </c>
      <c r="K178" s="486">
        <v>543105081.23000002</v>
      </c>
      <c r="L178" s="486">
        <v>53938091.5</v>
      </c>
      <c r="M178" s="487">
        <v>1.0892100560827827</v>
      </c>
      <c r="N178" s="487">
        <v>0</v>
      </c>
      <c r="O178" s="550">
        <v>0</v>
      </c>
      <c r="P178" s="551"/>
      <c r="Q178" s="552"/>
      <c r="R178" s="485">
        <v>611</v>
      </c>
      <c r="S178" s="486">
        <v>543105081.23000002</v>
      </c>
      <c r="T178" s="486">
        <v>53938091.5</v>
      </c>
      <c r="U178" s="487">
        <v>1.0892100560827827</v>
      </c>
      <c r="V178" s="487">
        <v>0</v>
      </c>
      <c r="W178" s="487">
        <v>0</v>
      </c>
      <c r="X178" s="485">
        <v>611</v>
      </c>
      <c r="Y178" s="486">
        <v>543105081.23000002</v>
      </c>
      <c r="Z178" s="486">
        <v>53938091.5</v>
      </c>
      <c r="AB178" s="487">
        <v>1.0892100560827827</v>
      </c>
      <c r="AC178" s="487">
        <v>0</v>
      </c>
      <c r="AD178" s="487">
        <v>0</v>
      </c>
      <c r="AE178" s="485">
        <v>611</v>
      </c>
      <c r="AF178" s="486">
        <v>536440842.07999998</v>
      </c>
      <c r="AG178" s="486">
        <v>50659182.5</v>
      </c>
      <c r="AH178" s="487">
        <v>1.0758447672110947</v>
      </c>
      <c r="AI178" s="487">
        <v>0</v>
      </c>
      <c r="AJ178" s="487">
        <v>0</v>
      </c>
    </row>
    <row r="179" spans="2:36" ht="38.25" x14ac:dyDescent="0.25">
      <c r="B179" s="488" t="s">
        <v>583</v>
      </c>
      <c r="C179" s="488" t="s">
        <v>584</v>
      </c>
      <c r="D179" s="488"/>
      <c r="E179" s="488"/>
      <c r="F179" s="489">
        <v>113318823</v>
      </c>
      <c r="G179" s="489">
        <v>0</v>
      </c>
      <c r="H179" s="553">
        <v>0</v>
      </c>
      <c r="I179" s="552"/>
      <c r="J179" s="489">
        <v>113318823</v>
      </c>
      <c r="K179" s="489">
        <v>111734903.26000001</v>
      </c>
      <c r="L179" s="489">
        <v>0</v>
      </c>
      <c r="M179" s="490">
        <v>0.98602244800936556</v>
      </c>
      <c r="N179" s="490">
        <v>0</v>
      </c>
      <c r="O179" s="554">
        <v>0</v>
      </c>
      <c r="P179" s="551"/>
      <c r="Q179" s="552"/>
      <c r="R179" s="488">
        <v>9</v>
      </c>
      <c r="S179" s="489">
        <v>111734903.26000001</v>
      </c>
      <c r="T179" s="489">
        <v>0</v>
      </c>
      <c r="U179" s="490">
        <v>0.98602244800936556</v>
      </c>
      <c r="V179" s="490">
        <v>0</v>
      </c>
      <c r="W179" s="490">
        <v>0</v>
      </c>
      <c r="X179" s="488">
        <v>9</v>
      </c>
      <c r="Y179" s="489">
        <v>111734903.26000001</v>
      </c>
      <c r="Z179" s="489">
        <v>0</v>
      </c>
      <c r="AB179" s="490">
        <v>0.98602244800936556</v>
      </c>
      <c r="AC179" s="490">
        <v>0</v>
      </c>
      <c r="AD179" s="490">
        <v>0</v>
      </c>
      <c r="AE179" s="488">
        <v>9</v>
      </c>
      <c r="AF179" s="489">
        <v>111144754.66</v>
      </c>
      <c r="AG179" s="489">
        <v>0</v>
      </c>
      <c r="AH179" s="490">
        <v>0.98081458770534535</v>
      </c>
      <c r="AI179" s="490">
        <v>0</v>
      </c>
      <c r="AJ179" s="490">
        <v>0</v>
      </c>
    </row>
    <row r="180" spans="2:36" ht="51" x14ac:dyDescent="0.25">
      <c r="B180" s="488" t="s">
        <v>451</v>
      </c>
      <c r="C180" s="488" t="s">
        <v>1541</v>
      </c>
      <c r="D180" s="488" t="s">
        <v>346</v>
      </c>
      <c r="E180" s="488" t="s">
        <v>553</v>
      </c>
      <c r="F180" s="489">
        <v>95567990</v>
      </c>
      <c r="G180" s="489">
        <v>0</v>
      </c>
      <c r="H180" s="553">
        <v>0</v>
      </c>
      <c r="I180" s="552"/>
      <c r="J180" s="489">
        <v>95567990</v>
      </c>
      <c r="K180" s="489">
        <v>94245200.739999995</v>
      </c>
      <c r="L180" s="489">
        <v>0</v>
      </c>
      <c r="M180" s="490">
        <v>0.98615865772629518</v>
      </c>
      <c r="N180" s="490">
        <v>0</v>
      </c>
      <c r="O180" s="554">
        <v>0</v>
      </c>
      <c r="P180" s="551"/>
      <c r="Q180" s="552"/>
      <c r="R180" s="488">
        <v>3</v>
      </c>
      <c r="S180" s="489">
        <v>94245200.739999995</v>
      </c>
      <c r="T180" s="489">
        <v>0</v>
      </c>
      <c r="U180" s="490">
        <v>0.98615865772629518</v>
      </c>
      <c r="V180" s="490">
        <v>0</v>
      </c>
      <c r="W180" s="490">
        <v>0</v>
      </c>
      <c r="X180" s="488">
        <v>3</v>
      </c>
      <c r="Y180" s="489">
        <v>94245200.739999995</v>
      </c>
      <c r="Z180" s="489">
        <v>0</v>
      </c>
      <c r="AB180" s="490">
        <v>0.98615865772629518</v>
      </c>
      <c r="AC180" s="490">
        <v>0</v>
      </c>
      <c r="AD180" s="490">
        <v>0</v>
      </c>
      <c r="AE180" s="488">
        <v>3</v>
      </c>
      <c r="AF180" s="489">
        <v>93655052.140000001</v>
      </c>
      <c r="AG180" s="489">
        <v>0</v>
      </c>
      <c r="AH180" s="490">
        <v>0.979983487567333</v>
      </c>
      <c r="AI180" s="490">
        <v>0</v>
      </c>
      <c r="AJ180" s="490">
        <v>0</v>
      </c>
    </row>
    <row r="181" spans="2:36" ht="25.5" x14ac:dyDescent="0.25">
      <c r="B181" s="488" t="s">
        <v>324</v>
      </c>
      <c r="C181" s="488" t="s">
        <v>585</v>
      </c>
      <c r="D181" s="488" t="s">
        <v>346</v>
      </c>
      <c r="E181" s="488" t="s">
        <v>553</v>
      </c>
      <c r="F181" s="489">
        <v>65931882</v>
      </c>
      <c r="G181" s="489">
        <v>0</v>
      </c>
      <c r="H181" s="553">
        <v>0</v>
      </c>
      <c r="I181" s="552"/>
      <c r="J181" s="489">
        <v>65931882</v>
      </c>
      <c r="K181" s="489">
        <v>65086757.420000002</v>
      </c>
      <c r="L181" s="489">
        <v>0</v>
      </c>
      <c r="M181" s="490">
        <v>0.98718185262783797</v>
      </c>
      <c r="N181" s="490">
        <v>0</v>
      </c>
      <c r="O181" s="554">
        <v>0</v>
      </c>
      <c r="P181" s="551"/>
      <c r="Q181" s="552"/>
      <c r="R181" s="488">
        <v>1</v>
      </c>
      <c r="S181" s="489">
        <v>65086757.420000002</v>
      </c>
      <c r="T181" s="489">
        <v>0</v>
      </c>
      <c r="U181" s="490">
        <v>0.98718185262783797</v>
      </c>
      <c r="V181" s="490">
        <v>0</v>
      </c>
      <c r="W181" s="490">
        <v>0</v>
      </c>
      <c r="X181" s="488">
        <v>1</v>
      </c>
      <c r="Y181" s="489">
        <v>65086757.420000002</v>
      </c>
      <c r="Z181" s="489">
        <v>0</v>
      </c>
      <c r="AB181" s="490">
        <v>0.98718185262783797</v>
      </c>
      <c r="AC181" s="490">
        <v>0</v>
      </c>
      <c r="AD181" s="490">
        <v>0</v>
      </c>
      <c r="AE181" s="488">
        <v>1</v>
      </c>
      <c r="AF181" s="489">
        <v>65060335.469999999</v>
      </c>
      <c r="AG181" s="489">
        <v>0</v>
      </c>
      <c r="AH181" s="490">
        <v>0.98678110644558881</v>
      </c>
      <c r="AI181" s="490">
        <v>0</v>
      </c>
      <c r="AJ181" s="490">
        <v>0</v>
      </c>
    </row>
    <row r="182" spans="2:36" ht="25.5" x14ac:dyDescent="0.25">
      <c r="B182" s="488" t="s">
        <v>325</v>
      </c>
      <c r="C182" s="488" t="s">
        <v>613</v>
      </c>
      <c r="D182" s="488" t="s">
        <v>346</v>
      </c>
      <c r="E182" s="488" t="s">
        <v>553</v>
      </c>
      <c r="F182" s="489">
        <v>15114906</v>
      </c>
      <c r="G182" s="489">
        <v>0</v>
      </c>
      <c r="H182" s="553">
        <v>0</v>
      </c>
      <c r="I182" s="552"/>
      <c r="J182" s="489">
        <v>15114906</v>
      </c>
      <c r="K182" s="489">
        <v>15109732.189999999</v>
      </c>
      <c r="L182" s="489">
        <v>0</v>
      </c>
      <c r="M182" s="490">
        <v>0.99965770147693944</v>
      </c>
      <c r="N182" s="490">
        <v>0</v>
      </c>
      <c r="O182" s="554">
        <v>0</v>
      </c>
      <c r="P182" s="551"/>
      <c r="Q182" s="552"/>
      <c r="R182" s="488">
        <v>1</v>
      </c>
      <c r="S182" s="489">
        <v>15109732.189999999</v>
      </c>
      <c r="T182" s="489">
        <v>0</v>
      </c>
      <c r="U182" s="490">
        <v>0.99965770147693944</v>
      </c>
      <c r="V182" s="490">
        <v>0</v>
      </c>
      <c r="W182" s="490">
        <v>0</v>
      </c>
      <c r="X182" s="488">
        <v>1</v>
      </c>
      <c r="Y182" s="489">
        <v>15109732.189999999</v>
      </c>
      <c r="Z182" s="489">
        <v>0</v>
      </c>
      <c r="AB182" s="490">
        <v>0.99965770147693944</v>
      </c>
      <c r="AC182" s="490">
        <v>0</v>
      </c>
      <c r="AD182" s="490">
        <v>0</v>
      </c>
      <c r="AE182" s="488">
        <v>1</v>
      </c>
      <c r="AF182" s="489">
        <v>15065475.98</v>
      </c>
      <c r="AG182" s="489">
        <v>0</v>
      </c>
      <c r="AH182" s="490">
        <v>0.99672971700915636</v>
      </c>
      <c r="AI182" s="490">
        <v>0</v>
      </c>
      <c r="AJ182" s="490">
        <v>0</v>
      </c>
    </row>
    <row r="183" spans="2:36" ht="25.5" x14ac:dyDescent="0.25">
      <c r="B183" s="488" t="s">
        <v>326</v>
      </c>
      <c r="C183" s="488" t="s">
        <v>366</v>
      </c>
      <c r="D183" s="488" t="s">
        <v>346</v>
      </c>
      <c r="E183" s="488" t="s">
        <v>553</v>
      </c>
      <c r="F183" s="489">
        <v>14521202</v>
      </c>
      <c r="G183" s="489">
        <v>0</v>
      </c>
      <c r="H183" s="553">
        <v>0</v>
      </c>
      <c r="I183" s="552"/>
      <c r="J183" s="489">
        <v>14521202</v>
      </c>
      <c r="K183" s="489">
        <v>14048711.130000001</v>
      </c>
      <c r="L183" s="489">
        <v>0</v>
      </c>
      <c r="M183" s="490">
        <v>0.96746200004655258</v>
      </c>
      <c r="N183" s="490">
        <v>0</v>
      </c>
      <c r="O183" s="554">
        <v>0</v>
      </c>
      <c r="P183" s="551"/>
      <c r="Q183" s="552"/>
      <c r="R183" s="488">
        <v>1</v>
      </c>
      <c r="S183" s="489">
        <v>14048711.130000001</v>
      </c>
      <c r="T183" s="489">
        <v>0</v>
      </c>
      <c r="U183" s="490">
        <v>0.96746200004655258</v>
      </c>
      <c r="V183" s="490">
        <v>0</v>
      </c>
      <c r="W183" s="490">
        <v>0</v>
      </c>
      <c r="X183" s="488">
        <v>1</v>
      </c>
      <c r="Y183" s="489">
        <v>14048711.130000001</v>
      </c>
      <c r="Z183" s="489">
        <v>0</v>
      </c>
      <c r="AB183" s="490">
        <v>0.96746200004655258</v>
      </c>
      <c r="AC183" s="490">
        <v>0</v>
      </c>
      <c r="AD183" s="490">
        <v>0</v>
      </c>
      <c r="AE183" s="488">
        <v>1</v>
      </c>
      <c r="AF183" s="489">
        <v>13529240.689999999</v>
      </c>
      <c r="AG183" s="489">
        <v>0</v>
      </c>
      <c r="AH183" s="490">
        <v>0.93168876033815928</v>
      </c>
      <c r="AI183" s="490">
        <v>0</v>
      </c>
      <c r="AJ183" s="490">
        <v>0</v>
      </c>
    </row>
    <row r="184" spans="2:36" ht="25.5" x14ac:dyDescent="0.25">
      <c r="B184" s="488" t="s">
        <v>327</v>
      </c>
      <c r="C184" s="488" t="s">
        <v>133</v>
      </c>
      <c r="D184" s="488" t="s">
        <v>346</v>
      </c>
      <c r="E184" s="488" t="s">
        <v>505</v>
      </c>
      <c r="F184" s="489">
        <v>3813642</v>
      </c>
      <c r="G184" s="489">
        <v>0</v>
      </c>
      <c r="H184" s="553">
        <v>0</v>
      </c>
      <c r="I184" s="552"/>
      <c r="J184" s="489">
        <v>3813642</v>
      </c>
      <c r="K184" s="489">
        <v>3813625.6</v>
      </c>
      <c r="L184" s="489">
        <v>0</v>
      </c>
      <c r="M184" s="490">
        <v>0.99999569964878721</v>
      </c>
      <c r="N184" s="490">
        <v>0</v>
      </c>
      <c r="O184" s="554">
        <v>0</v>
      </c>
      <c r="P184" s="551"/>
      <c r="Q184" s="552"/>
      <c r="R184" s="488">
        <v>1</v>
      </c>
      <c r="S184" s="489">
        <v>3813625.6</v>
      </c>
      <c r="T184" s="489">
        <v>0</v>
      </c>
      <c r="U184" s="490">
        <v>0.99999569964878721</v>
      </c>
      <c r="V184" s="490">
        <v>0</v>
      </c>
      <c r="W184" s="490">
        <v>0</v>
      </c>
      <c r="X184" s="488">
        <v>1</v>
      </c>
      <c r="Y184" s="489">
        <v>3813625.6</v>
      </c>
      <c r="Z184" s="489">
        <v>0</v>
      </c>
      <c r="AB184" s="490">
        <v>0.99999569964878721</v>
      </c>
      <c r="AC184" s="490">
        <v>0</v>
      </c>
      <c r="AD184" s="490">
        <v>0</v>
      </c>
      <c r="AE184" s="488">
        <v>1</v>
      </c>
      <c r="AF184" s="489">
        <v>3813625.6</v>
      </c>
      <c r="AG184" s="489">
        <v>0</v>
      </c>
      <c r="AH184" s="490">
        <v>0.99999569964878721</v>
      </c>
      <c r="AI184" s="490">
        <v>0</v>
      </c>
      <c r="AJ184" s="490">
        <v>0</v>
      </c>
    </row>
    <row r="185" spans="2:36" ht="25.5" x14ac:dyDescent="0.25">
      <c r="B185" s="488" t="s">
        <v>328</v>
      </c>
      <c r="C185" s="488" t="s">
        <v>134</v>
      </c>
      <c r="D185" s="488" t="s">
        <v>346</v>
      </c>
      <c r="E185" s="488" t="s">
        <v>505</v>
      </c>
      <c r="F185" s="489">
        <v>4446397</v>
      </c>
      <c r="G185" s="489">
        <v>0</v>
      </c>
      <c r="H185" s="553">
        <v>0</v>
      </c>
      <c r="I185" s="552"/>
      <c r="J185" s="489">
        <v>4446397</v>
      </c>
      <c r="K185" s="489">
        <v>4446397</v>
      </c>
      <c r="L185" s="489">
        <v>0</v>
      </c>
      <c r="M185" s="490">
        <v>1</v>
      </c>
      <c r="N185" s="490">
        <v>0</v>
      </c>
      <c r="O185" s="554">
        <v>0</v>
      </c>
      <c r="P185" s="551"/>
      <c r="Q185" s="552"/>
      <c r="R185" s="488">
        <v>1</v>
      </c>
      <c r="S185" s="489">
        <v>4446397</v>
      </c>
      <c r="T185" s="489">
        <v>0</v>
      </c>
      <c r="U185" s="490">
        <v>1</v>
      </c>
      <c r="V185" s="490">
        <v>0</v>
      </c>
      <c r="W185" s="490">
        <v>0</v>
      </c>
      <c r="X185" s="488">
        <v>1</v>
      </c>
      <c r="Y185" s="489">
        <v>4446397</v>
      </c>
      <c r="Z185" s="489">
        <v>0</v>
      </c>
      <c r="AB185" s="490">
        <v>1</v>
      </c>
      <c r="AC185" s="490">
        <v>0</v>
      </c>
      <c r="AD185" s="490">
        <v>0</v>
      </c>
      <c r="AE185" s="488">
        <v>1</v>
      </c>
      <c r="AF185" s="489">
        <v>4446397</v>
      </c>
      <c r="AG185" s="489">
        <v>0</v>
      </c>
      <c r="AH185" s="490">
        <v>1</v>
      </c>
      <c r="AI185" s="490">
        <v>0</v>
      </c>
      <c r="AJ185" s="490">
        <v>0</v>
      </c>
    </row>
    <row r="186" spans="2:36" ht="25.5" x14ac:dyDescent="0.25">
      <c r="B186" s="488" t="s">
        <v>452</v>
      </c>
      <c r="C186" s="488" t="s">
        <v>135</v>
      </c>
      <c r="D186" s="488" t="s">
        <v>346</v>
      </c>
      <c r="E186" s="488" t="s">
        <v>553</v>
      </c>
      <c r="F186" s="489">
        <v>9490794</v>
      </c>
      <c r="G186" s="489">
        <v>0</v>
      </c>
      <c r="H186" s="553">
        <v>0</v>
      </c>
      <c r="I186" s="552"/>
      <c r="J186" s="489">
        <v>9490794</v>
      </c>
      <c r="K186" s="489">
        <v>9229679.9199999999</v>
      </c>
      <c r="L186" s="489">
        <v>0</v>
      </c>
      <c r="M186" s="490">
        <v>0.97248764644981234</v>
      </c>
      <c r="N186" s="490">
        <v>0</v>
      </c>
      <c r="O186" s="554">
        <v>0</v>
      </c>
      <c r="P186" s="551"/>
      <c r="Q186" s="552"/>
      <c r="R186" s="488">
        <v>4</v>
      </c>
      <c r="S186" s="489">
        <v>9229679.9199999999</v>
      </c>
      <c r="T186" s="489">
        <v>0</v>
      </c>
      <c r="U186" s="490">
        <v>0.97248764644981234</v>
      </c>
      <c r="V186" s="490">
        <v>0</v>
      </c>
      <c r="W186" s="490">
        <v>0</v>
      </c>
      <c r="X186" s="488">
        <v>4</v>
      </c>
      <c r="Y186" s="489">
        <v>9229679.9199999999</v>
      </c>
      <c r="Z186" s="489">
        <v>0</v>
      </c>
      <c r="AB186" s="490">
        <v>0.97248764644981234</v>
      </c>
      <c r="AC186" s="490">
        <v>0</v>
      </c>
      <c r="AD186" s="490">
        <v>0</v>
      </c>
      <c r="AE186" s="488">
        <v>4</v>
      </c>
      <c r="AF186" s="489">
        <v>9229679.9199999999</v>
      </c>
      <c r="AG186" s="489">
        <v>0</v>
      </c>
      <c r="AH186" s="490">
        <v>0.97248764644981234</v>
      </c>
      <c r="AI186" s="490">
        <v>0</v>
      </c>
      <c r="AJ186" s="490">
        <v>0</v>
      </c>
    </row>
    <row r="187" spans="2:36" ht="25.5" x14ac:dyDescent="0.25">
      <c r="B187" s="488" t="s">
        <v>329</v>
      </c>
      <c r="C187" s="488" t="s">
        <v>209</v>
      </c>
      <c r="D187" s="488" t="s">
        <v>346</v>
      </c>
      <c r="E187" s="488" t="s">
        <v>553</v>
      </c>
      <c r="F187" s="489">
        <v>1486320</v>
      </c>
      <c r="G187" s="489">
        <v>0</v>
      </c>
      <c r="H187" s="553">
        <v>0</v>
      </c>
      <c r="I187" s="552"/>
      <c r="J187" s="489">
        <v>1486320</v>
      </c>
      <c r="K187" s="489">
        <v>1486319.49</v>
      </c>
      <c r="L187" s="489">
        <v>0</v>
      </c>
      <c r="M187" s="490">
        <v>0.99999965687066039</v>
      </c>
      <c r="N187" s="490">
        <v>0</v>
      </c>
      <c r="O187" s="554">
        <v>0</v>
      </c>
      <c r="P187" s="551"/>
      <c r="Q187" s="552"/>
      <c r="R187" s="488">
        <v>1</v>
      </c>
      <c r="S187" s="489">
        <v>1486319.49</v>
      </c>
      <c r="T187" s="489">
        <v>0</v>
      </c>
      <c r="U187" s="490">
        <v>0.99999965687066039</v>
      </c>
      <c r="V187" s="490">
        <v>0</v>
      </c>
      <c r="W187" s="490">
        <v>0</v>
      </c>
      <c r="X187" s="488">
        <v>1</v>
      </c>
      <c r="Y187" s="489">
        <v>1486319.49</v>
      </c>
      <c r="Z187" s="489">
        <v>0</v>
      </c>
      <c r="AB187" s="490">
        <v>0.99999965687066039</v>
      </c>
      <c r="AC187" s="490">
        <v>0</v>
      </c>
      <c r="AD187" s="490">
        <v>0</v>
      </c>
      <c r="AE187" s="488">
        <v>1</v>
      </c>
      <c r="AF187" s="489">
        <v>1486319.49</v>
      </c>
      <c r="AG187" s="489">
        <v>0</v>
      </c>
      <c r="AH187" s="490">
        <v>0.99999965687066039</v>
      </c>
      <c r="AI187" s="490">
        <v>0</v>
      </c>
      <c r="AJ187" s="490">
        <v>0</v>
      </c>
    </row>
    <row r="188" spans="2:36" ht="51" x14ac:dyDescent="0.25">
      <c r="B188" s="488" t="s">
        <v>330</v>
      </c>
      <c r="C188" s="488" t="s">
        <v>1285</v>
      </c>
      <c r="D188" s="488" t="s">
        <v>346</v>
      </c>
      <c r="E188" s="488" t="s">
        <v>553</v>
      </c>
      <c r="F188" s="489">
        <v>974708</v>
      </c>
      <c r="G188" s="489">
        <v>0</v>
      </c>
      <c r="H188" s="553">
        <v>0</v>
      </c>
      <c r="I188" s="552"/>
      <c r="J188" s="489">
        <v>974708</v>
      </c>
      <c r="K188" s="489">
        <v>974635.41</v>
      </c>
      <c r="L188" s="489">
        <v>0</v>
      </c>
      <c r="M188" s="490">
        <v>0.99992552641406451</v>
      </c>
      <c r="N188" s="490">
        <v>0</v>
      </c>
      <c r="O188" s="554">
        <v>0</v>
      </c>
      <c r="P188" s="551"/>
      <c r="Q188" s="552"/>
      <c r="R188" s="488">
        <v>1</v>
      </c>
      <c r="S188" s="489">
        <v>974635.41</v>
      </c>
      <c r="T188" s="489">
        <v>0</v>
      </c>
      <c r="U188" s="490">
        <v>0.99992552641406451</v>
      </c>
      <c r="V188" s="490">
        <v>0</v>
      </c>
      <c r="W188" s="490">
        <v>0</v>
      </c>
      <c r="X188" s="488">
        <v>1</v>
      </c>
      <c r="Y188" s="489">
        <v>974635.41</v>
      </c>
      <c r="Z188" s="489">
        <v>0</v>
      </c>
      <c r="AB188" s="490">
        <v>0.99992552641406451</v>
      </c>
      <c r="AC188" s="490">
        <v>0</v>
      </c>
      <c r="AD188" s="490">
        <v>0</v>
      </c>
      <c r="AE188" s="488">
        <v>1</v>
      </c>
      <c r="AF188" s="489">
        <v>974635.41</v>
      </c>
      <c r="AG188" s="489">
        <v>0</v>
      </c>
      <c r="AH188" s="490">
        <v>0.99992552641406451</v>
      </c>
      <c r="AI188" s="490">
        <v>0</v>
      </c>
      <c r="AJ188" s="490">
        <v>0</v>
      </c>
    </row>
    <row r="189" spans="2:36" ht="25.5" x14ac:dyDescent="0.25">
      <c r="B189" s="488" t="s">
        <v>331</v>
      </c>
      <c r="C189" s="488" t="s">
        <v>211</v>
      </c>
      <c r="D189" s="488" t="s">
        <v>346</v>
      </c>
      <c r="E189" s="488" t="s">
        <v>553</v>
      </c>
      <c r="F189" s="489">
        <v>259298</v>
      </c>
      <c r="G189" s="489">
        <v>0</v>
      </c>
      <c r="H189" s="553">
        <v>0</v>
      </c>
      <c r="I189" s="552"/>
      <c r="J189" s="489">
        <v>259298</v>
      </c>
      <c r="K189" s="489">
        <v>259297.52</v>
      </c>
      <c r="L189" s="489">
        <v>0</v>
      </c>
      <c r="M189" s="490">
        <v>0.99999814884804361</v>
      </c>
      <c r="N189" s="490">
        <v>0</v>
      </c>
      <c r="O189" s="554">
        <v>0</v>
      </c>
      <c r="P189" s="551"/>
      <c r="Q189" s="552"/>
      <c r="R189" s="488">
        <v>1</v>
      </c>
      <c r="S189" s="489">
        <v>259297.52</v>
      </c>
      <c r="T189" s="489">
        <v>0</v>
      </c>
      <c r="U189" s="490">
        <v>0.99999814884804361</v>
      </c>
      <c r="V189" s="490">
        <v>0</v>
      </c>
      <c r="W189" s="490">
        <v>0</v>
      </c>
      <c r="X189" s="488">
        <v>1</v>
      </c>
      <c r="Y189" s="489">
        <v>259297.52</v>
      </c>
      <c r="Z189" s="489">
        <v>0</v>
      </c>
      <c r="AB189" s="490">
        <v>0.99999814884804361</v>
      </c>
      <c r="AC189" s="490">
        <v>0</v>
      </c>
      <c r="AD189" s="490">
        <v>0</v>
      </c>
      <c r="AE189" s="488">
        <v>1</v>
      </c>
      <c r="AF189" s="489">
        <v>259297.52</v>
      </c>
      <c r="AG189" s="489">
        <v>0</v>
      </c>
      <c r="AH189" s="490">
        <v>0.99999814884804361</v>
      </c>
      <c r="AI189" s="490">
        <v>0</v>
      </c>
      <c r="AJ189" s="490">
        <v>0</v>
      </c>
    </row>
    <row r="190" spans="2:36" ht="25.5" x14ac:dyDescent="0.25">
      <c r="B190" s="488" t="s">
        <v>332</v>
      </c>
      <c r="C190" s="488" t="s">
        <v>212</v>
      </c>
      <c r="D190" s="488" t="s">
        <v>346</v>
      </c>
      <c r="E190" s="488" t="s">
        <v>553</v>
      </c>
      <c r="F190" s="489">
        <v>6770468</v>
      </c>
      <c r="G190" s="489">
        <v>0</v>
      </c>
      <c r="H190" s="553">
        <v>0</v>
      </c>
      <c r="I190" s="552"/>
      <c r="J190" s="489">
        <v>6770468</v>
      </c>
      <c r="K190" s="489">
        <v>6509427.5</v>
      </c>
      <c r="L190" s="489">
        <v>0</v>
      </c>
      <c r="M190" s="490">
        <v>0.9614442458039828</v>
      </c>
      <c r="N190" s="490">
        <v>0</v>
      </c>
      <c r="O190" s="554">
        <v>0</v>
      </c>
      <c r="P190" s="551"/>
      <c r="Q190" s="552"/>
      <c r="R190" s="488">
        <v>1</v>
      </c>
      <c r="S190" s="489">
        <v>6509427.5</v>
      </c>
      <c r="T190" s="489">
        <v>0</v>
      </c>
      <c r="U190" s="490">
        <v>0.9614442458039828</v>
      </c>
      <c r="V190" s="490">
        <v>0</v>
      </c>
      <c r="W190" s="490">
        <v>0</v>
      </c>
      <c r="X190" s="488">
        <v>1</v>
      </c>
      <c r="Y190" s="489">
        <v>6509427.5</v>
      </c>
      <c r="Z190" s="489">
        <v>0</v>
      </c>
      <c r="AB190" s="490">
        <v>0.9614442458039828</v>
      </c>
      <c r="AC190" s="490">
        <v>0</v>
      </c>
      <c r="AD190" s="490">
        <v>0</v>
      </c>
      <c r="AE190" s="488">
        <v>1</v>
      </c>
      <c r="AF190" s="489">
        <v>6509427.5</v>
      </c>
      <c r="AG190" s="489">
        <v>0</v>
      </c>
      <c r="AH190" s="490">
        <v>0.9614442458039828</v>
      </c>
      <c r="AI190" s="490">
        <v>0</v>
      </c>
      <c r="AJ190" s="490">
        <v>0</v>
      </c>
    </row>
    <row r="191" spans="2:36" ht="51" x14ac:dyDescent="0.25">
      <c r="B191" s="488" t="s">
        <v>586</v>
      </c>
      <c r="C191" s="488" t="s">
        <v>380</v>
      </c>
      <c r="D191" s="488"/>
      <c r="E191" s="488"/>
      <c r="F191" s="489">
        <v>141306955</v>
      </c>
      <c r="G191" s="489">
        <v>4259331</v>
      </c>
      <c r="H191" s="553">
        <v>1589796</v>
      </c>
      <c r="I191" s="552"/>
      <c r="J191" s="489">
        <v>142896751</v>
      </c>
      <c r="K191" s="489">
        <v>141654578.25999999</v>
      </c>
      <c r="L191" s="489">
        <v>4259331</v>
      </c>
      <c r="M191" s="490">
        <v>1.0024600576808127</v>
      </c>
      <c r="N191" s="490">
        <v>0</v>
      </c>
      <c r="O191" s="554">
        <v>0</v>
      </c>
      <c r="P191" s="551"/>
      <c r="Q191" s="552"/>
      <c r="R191" s="488">
        <v>165</v>
      </c>
      <c r="S191" s="489">
        <v>141654578.25999999</v>
      </c>
      <c r="T191" s="489">
        <v>4259331</v>
      </c>
      <c r="U191" s="490">
        <v>1.0024600576808127</v>
      </c>
      <c r="V191" s="490">
        <v>0</v>
      </c>
      <c r="W191" s="490">
        <v>0</v>
      </c>
      <c r="X191" s="488">
        <v>165</v>
      </c>
      <c r="Y191" s="489">
        <v>141654578.25999999</v>
      </c>
      <c r="Z191" s="489">
        <v>4259331</v>
      </c>
      <c r="AB191" s="490">
        <v>1.0024600576808127</v>
      </c>
      <c r="AC191" s="490">
        <v>0</v>
      </c>
      <c r="AD191" s="490">
        <v>0</v>
      </c>
      <c r="AE191" s="488">
        <v>165</v>
      </c>
      <c r="AF191" s="489">
        <v>141649009.52000001</v>
      </c>
      <c r="AG191" s="489">
        <v>4259331</v>
      </c>
      <c r="AH191" s="490">
        <v>1.0024206488633203</v>
      </c>
      <c r="AI191" s="490">
        <v>0</v>
      </c>
      <c r="AJ191" s="490">
        <v>0</v>
      </c>
    </row>
    <row r="192" spans="2:36" ht="38.25" x14ac:dyDescent="0.25">
      <c r="B192" s="488" t="s">
        <v>453</v>
      </c>
      <c r="C192" s="488" t="s">
        <v>587</v>
      </c>
      <c r="D192" s="488" t="s">
        <v>346</v>
      </c>
      <c r="E192" s="488" t="s">
        <v>553</v>
      </c>
      <c r="F192" s="489">
        <v>13209926</v>
      </c>
      <c r="G192" s="489">
        <v>0</v>
      </c>
      <c r="H192" s="553">
        <v>0</v>
      </c>
      <c r="I192" s="552"/>
      <c r="J192" s="489">
        <v>13209926</v>
      </c>
      <c r="K192" s="489">
        <v>13071401.470000001</v>
      </c>
      <c r="L192" s="489">
        <v>0</v>
      </c>
      <c r="M192" s="490">
        <v>0.98951360287710921</v>
      </c>
      <c r="N192" s="490">
        <v>0</v>
      </c>
      <c r="O192" s="554">
        <v>0</v>
      </c>
      <c r="P192" s="551"/>
      <c r="Q192" s="552"/>
      <c r="R192" s="488">
        <v>3</v>
      </c>
      <c r="S192" s="489">
        <v>13071401.470000001</v>
      </c>
      <c r="T192" s="489">
        <v>0</v>
      </c>
      <c r="U192" s="490">
        <v>0.98951360287710921</v>
      </c>
      <c r="V192" s="490">
        <v>0</v>
      </c>
      <c r="W192" s="490">
        <v>0</v>
      </c>
      <c r="X192" s="488">
        <v>3</v>
      </c>
      <c r="Y192" s="489">
        <v>13071401.470000001</v>
      </c>
      <c r="Z192" s="489">
        <v>0</v>
      </c>
      <c r="AB192" s="490">
        <v>0.98951360287710921</v>
      </c>
      <c r="AC192" s="490">
        <v>0</v>
      </c>
      <c r="AD192" s="490">
        <v>0</v>
      </c>
      <c r="AE192" s="488">
        <v>3</v>
      </c>
      <c r="AF192" s="489">
        <v>13071401.48</v>
      </c>
      <c r="AG192" s="489">
        <v>0</v>
      </c>
      <c r="AH192" s="490">
        <v>0.98951360363411578</v>
      </c>
      <c r="AI192" s="490">
        <v>0</v>
      </c>
      <c r="AJ192" s="490">
        <v>0</v>
      </c>
    </row>
    <row r="193" spans="2:36" ht="25.5" x14ac:dyDescent="0.25">
      <c r="B193" s="488" t="s">
        <v>333</v>
      </c>
      <c r="C193" s="488" t="s">
        <v>213</v>
      </c>
      <c r="D193" s="488" t="s">
        <v>346</v>
      </c>
      <c r="E193" s="488" t="s">
        <v>553</v>
      </c>
      <c r="F193" s="489">
        <v>8955085</v>
      </c>
      <c r="G193" s="489">
        <v>0</v>
      </c>
      <c r="H193" s="553">
        <v>0</v>
      </c>
      <c r="I193" s="552"/>
      <c r="J193" s="489">
        <v>8955085</v>
      </c>
      <c r="K193" s="489">
        <v>8826837.9700000007</v>
      </c>
      <c r="L193" s="489">
        <v>0</v>
      </c>
      <c r="M193" s="490">
        <v>0.98567885955298018</v>
      </c>
      <c r="N193" s="490">
        <v>0</v>
      </c>
      <c r="O193" s="554">
        <v>0</v>
      </c>
      <c r="P193" s="551"/>
      <c r="Q193" s="552"/>
      <c r="R193" s="488">
        <v>1</v>
      </c>
      <c r="S193" s="489">
        <v>8826837.9700000007</v>
      </c>
      <c r="T193" s="489">
        <v>0</v>
      </c>
      <c r="U193" s="490">
        <v>0.98567885955298018</v>
      </c>
      <c r="V193" s="490">
        <v>0</v>
      </c>
      <c r="W193" s="490">
        <v>0</v>
      </c>
      <c r="X193" s="488">
        <v>1</v>
      </c>
      <c r="Y193" s="489">
        <v>8826837.9700000007</v>
      </c>
      <c r="Z193" s="489">
        <v>0</v>
      </c>
      <c r="AB193" s="490">
        <v>0.98567885955298018</v>
      </c>
      <c r="AC193" s="490">
        <v>0</v>
      </c>
      <c r="AD193" s="490">
        <v>0</v>
      </c>
      <c r="AE193" s="488">
        <v>1</v>
      </c>
      <c r="AF193" s="489">
        <v>8826837.9700000007</v>
      </c>
      <c r="AG193" s="489">
        <v>0</v>
      </c>
      <c r="AH193" s="490">
        <v>0.98567885955298018</v>
      </c>
      <c r="AI193" s="490">
        <v>0</v>
      </c>
      <c r="AJ193" s="490">
        <v>0</v>
      </c>
    </row>
    <row r="194" spans="2:36" ht="25.5" x14ac:dyDescent="0.25">
      <c r="B194" s="488" t="s">
        <v>334</v>
      </c>
      <c r="C194" s="488" t="s">
        <v>214</v>
      </c>
      <c r="D194" s="488" t="s">
        <v>346</v>
      </c>
      <c r="E194" s="488" t="s">
        <v>553</v>
      </c>
      <c r="F194" s="489">
        <v>928452</v>
      </c>
      <c r="G194" s="489">
        <v>0</v>
      </c>
      <c r="H194" s="553">
        <v>0</v>
      </c>
      <c r="I194" s="552"/>
      <c r="J194" s="489">
        <v>928452</v>
      </c>
      <c r="K194" s="489">
        <v>928452</v>
      </c>
      <c r="L194" s="489">
        <v>0</v>
      </c>
      <c r="M194" s="490">
        <v>1</v>
      </c>
      <c r="N194" s="490">
        <v>0</v>
      </c>
      <c r="O194" s="554">
        <v>0</v>
      </c>
      <c r="P194" s="551"/>
      <c r="Q194" s="552"/>
      <c r="R194" s="488">
        <v>1</v>
      </c>
      <c r="S194" s="489">
        <v>928452</v>
      </c>
      <c r="T194" s="489">
        <v>0</v>
      </c>
      <c r="U194" s="490">
        <v>1</v>
      </c>
      <c r="V194" s="490">
        <v>0</v>
      </c>
      <c r="W194" s="490">
        <v>0</v>
      </c>
      <c r="X194" s="488">
        <v>1</v>
      </c>
      <c r="Y194" s="489">
        <v>928452</v>
      </c>
      <c r="Z194" s="489">
        <v>0</v>
      </c>
      <c r="AB194" s="490">
        <v>1</v>
      </c>
      <c r="AC194" s="490">
        <v>0</v>
      </c>
      <c r="AD194" s="490">
        <v>0</v>
      </c>
      <c r="AE194" s="488">
        <v>1</v>
      </c>
      <c r="AF194" s="489">
        <v>928452</v>
      </c>
      <c r="AG194" s="489">
        <v>0</v>
      </c>
      <c r="AH194" s="490">
        <v>1</v>
      </c>
      <c r="AI194" s="490">
        <v>0</v>
      </c>
      <c r="AJ194" s="490">
        <v>0</v>
      </c>
    </row>
    <row r="195" spans="2:36" ht="38.25" x14ac:dyDescent="0.25">
      <c r="B195" s="488" t="s">
        <v>335</v>
      </c>
      <c r="C195" s="488" t="s">
        <v>1574</v>
      </c>
      <c r="D195" s="488" t="s">
        <v>346</v>
      </c>
      <c r="E195" s="488" t="s">
        <v>553</v>
      </c>
      <c r="F195" s="489">
        <v>3326389</v>
      </c>
      <c r="G195" s="489">
        <v>0</v>
      </c>
      <c r="H195" s="553">
        <v>0</v>
      </c>
      <c r="I195" s="552"/>
      <c r="J195" s="489">
        <v>3326389</v>
      </c>
      <c r="K195" s="489">
        <v>3316111.5</v>
      </c>
      <c r="L195" s="489">
        <v>0</v>
      </c>
      <c r="M195" s="490">
        <v>0.99691031325560542</v>
      </c>
      <c r="N195" s="490">
        <v>0</v>
      </c>
      <c r="O195" s="554">
        <v>0</v>
      </c>
      <c r="P195" s="551"/>
      <c r="Q195" s="552"/>
      <c r="R195" s="488">
        <v>1</v>
      </c>
      <c r="S195" s="489">
        <v>3316111.5</v>
      </c>
      <c r="T195" s="489">
        <v>0</v>
      </c>
      <c r="U195" s="490">
        <v>0.99691031325560542</v>
      </c>
      <c r="V195" s="490">
        <v>0</v>
      </c>
      <c r="W195" s="490">
        <v>0</v>
      </c>
      <c r="X195" s="488">
        <v>1</v>
      </c>
      <c r="Y195" s="489">
        <v>3316111.5</v>
      </c>
      <c r="Z195" s="489">
        <v>0</v>
      </c>
      <c r="AB195" s="490">
        <v>0.99691031325560542</v>
      </c>
      <c r="AC195" s="490">
        <v>0</v>
      </c>
      <c r="AD195" s="490">
        <v>0</v>
      </c>
      <c r="AE195" s="488">
        <v>1</v>
      </c>
      <c r="AF195" s="489">
        <v>3316111.51</v>
      </c>
      <c r="AG195" s="489">
        <v>0</v>
      </c>
      <c r="AH195" s="490">
        <v>0.99691031626186832</v>
      </c>
      <c r="AI195" s="490">
        <v>0</v>
      </c>
      <c r="AJ195" s="490">
        <v>0</v>
      </c>
    </row>
    <row r="196" spans="2:36" ht="51" x14ac:dyDescent="0.25">
      <c r="B196" s="488" t="s">
        <v>454</v>
      </c>
      <c r="C196" s="488" t="s">
        <v>588</v>
      </c>
      <c r="D196" s="488" t="s">
        <v>346</v>
      </c>
      <c r="E196" s="488" t="s">
        <v>553</v>
      </c>
      <c r="F196" s="489">
        <v>53552788</v>
      </c>
      <c r="G196" s="489">
        <v>0</v>
      </c>
      <c r="H196" s="553">
        <v>0</v>
      </c>
      <c r="I196" s="552"/>
      <c r="J196" s="489">
        <v>53552788</v>
      </c>
      <c r="K196" s="489">
        <v>53162289.200000003</v>
      </c>
      <c r="L196" s="489">
        <v>0</v>
      </c>
      <c r="M196" s="490">
        <v>0.99270815181461702</v>
      </c>
      <c r="N196" s="490">
        <v>0</v>
      </c>
      <c r="O196" s="554">
        <v>0</v>
      </c>
      <c r="P196" s="551"/>
      <c r="Q196" s="552"/>
      <c r="R196" s="488">
        <v>61</v>
      </c>
      <c r="S196" s="489">
        <v>53162289.200000003</v>
      </c>
      <c r="T196" s="489">
        <v>0</v>
      </c>
      <c r="U196" s="490">
        <v>0.99270815181461702</v>
      </c>
      <c r="V196" s="490">
        <v>0</v>
      </c>
      <c r="W196" s="490">
        <v>0</v>
      </c>
      <c r="X196" s="488">
        <v>61</v>
      </c>
      <c r="Y196" s="489">
        <v>53162289.200000003</v>
      </c>
      <c r="Z196" s="489">
        <v>0</v>
      </c>
      <c r="AB196" s="490">
        <v>0.99270815181461702</v>
      </c>
      <c r="AC196" s="490">
        <v>0</v>
      </c>
      <c r="AD196" s="490">
        <v>0</v>
      </c>
      <c r="AE196" s="488">
        <v>61</v>
      </c>
      <c r="AF196" s="489">
        <v>53162289.200000003</v>
      </c>
      <c r="AG196" s="489">
        <v>0</v>
      </c>
      <c r="AH196" s="490">
        <v>0.99270815181461702</v>
      </c>
      <c r="AI196" s="490">
        <v>0</v>
      </c>
      <c r="AJ196" s="490">
        <v>0</v>
      </c>
    </row>
    <row r="197" spans="2:36" ht="25.5" x14ac:dyDescent="0.25">
      <c r="B197" s="488" t="s">
        <v>336</v>
      </c>
      <c r="C197" s="488" t="s">
        <v>216</v>
      </c>
      <c r="D197" s="488" t="s">
        <v>346</v>
      </c>
      <c r="E197" s="488" t="s">
        <v>553</v>
      </c>
      <c r="F197" s="489">
        <v>41907354</v>
      </c>
      <c r="G197" s="489">
        <v>0</v>
      </c>
      <c r="H197" s="553">
        <v>0</v>
      </c>
      <c r="I197" s="552"/>
      <c r="J197" s="489">
        <v>41907354</v>
      </c>
      <c r="K197" s="489">
        <v>41806492.579999998</v>
      </c>
      <c r="L197" s="489">
        <v>0</v>
      </c>
      <c r="M197" s="490">
        <v>0.99759322862521937</v>
      </c>
      <c r="N197" s="490">
        <v>0</v>
      </c>
      <c r="O197" s="554">
        <v>0</v>
      </c>
      <c r="P197" s="551"/>
      <c r="Q197" s="552"/>
      <c r="R197" s="488">
        <v>5</v>
      </c>
      <c r="S197" s="489">
        <v>41806492.579999998</v>
      </c>
      <c r="T197" s="489">
        <v>0</v>
      </c>
      <c r="U197" s="490">
        <v>0.99759322862521937</v>
      </c>
      <c r="V197" s="490">
        <v>0</v>
      </c>
      <c r="W197" s="490">
        <v>0</v>
      </c>
      <c r="X197" s="488">
        <v>5</v>
      </c>
      <c r="Y197" s="489">
        <v>41806492.579999998</v>
      </c>
      <c r="Z197" s="489">
        <v>0</v>
      </c>
      <c r="AB197" s="490">
        <v>0.99759322862521937</v>
      </c>
      <c r="AC197" s="490">
        <v>0</v>
      </c>
      <c r="AD197" s="490">
        <v>0</v>
      </c>
      <c r="AE197" s="488">
        <v>5</v>
      </c>
      <c r="AF197" s="489">
        <v>41806492.579999998</v>
      </c>
      <c r="AG197" s="489">
        <v>0</v>
      </c>
      <c r="AH197" s="490">
        <v>0.99759322862521937</v>
      </c>
      <c r="AI197" s="490">
        <v>0</v>
      </c>
      <c r="AJ197" s="490">
        <v>0</v>
      </c>
    </row>
    <row r="198" spans="2:36" ht="25.5" x14ac:dyDescent="0.25">
      <c r="B198" s="488" t="s">
        <v>337</v>
      </c>
      <c r="C198" s="488" t="s">
        <v>217</v>
      </c>
      <c r="D198" s="488" t="s">
        <v>346</v>
      </c>
      <c r="E198" s="488" t="s">
        <v>553</v>
      </c>
      <c r="F198" s="489">
        <v>4349512</v>
      </c>
      <c r="G198" s="489">
        <v>0</v>
      </c>
      <c r="H198" s="553">
        <v>0</v>
      </c>
      <c r="I198" s="552"/>
      <c r="J198" s="489">
        <v>4349512</v>
      </c>
      <c r="K198" s="489">
        <v>4269595.83</v>
      </c>
      <c r="L198" s="489">
        <v>0</v>
      </c>
      <c r="M198" s="490">
        <v>0.98162640544502466</v>
      </c>
      <c r="N198" s="490">
        <v>0</v>
      </c>
      <c r="O198" s="554">
        <v>0</v>
      </c>
      <c r="P198" s="551"/>
      <c r="Q198" s="552"/>
      <c r="R198" s="488">
        <v>1</v>
      </c>
      <c r="S198" s="489">
        <v>4269595.83</v>
      </c>
      <c r="T198" s="489">
        <v>0</v>
      </c>
      <c r="U198" s="490">
        <v>0.98162640544502466</v>
      </c>
      <c r="V198" s="490">
        <v>0</v>
      </c>
      <c r="W198" s="490">
        <v>0</v>
      </c>
      <c r="X198" s="488">
        <v>1</v>
      </c>
      <c r="Y198" s="489">
        <v>4269595.83</v>
      </c>
      <c r="Z198" s="489">
        <v>0</v>
      </c>
      <c r="AB198" s="490">
        <v>0.98162640544502466</v>
      </c>
      <c r="AC198" s="490">
        <v>0</v>
      </c>
      <c r="AD198" s="490">
        <v>0</v>
      </c>
      <c r="AE198" s="488">
        <v>1</v>
      </c>
      <c r="AF198" s="489">
        <v>4269595.83</v>
      </c>
      <c r="AG198" s="489">
        <v>0</v>
      </c>
      <c r="AH198" s="490">
        <v>0.98162640544502466</v>
      </c>
      <c r="AI198" s="490">
        <v>0</v>
      </c>
      <c r="AJ198" s="490">
        <v>0</v>
      </c>
    </row>
    <row r="199" spans="2:36" ht="25.5" x14ac:dyDescent="0.25">
      <c r="B199" s="488" t="s">
        <v>1247</v>
      </c>
      <c r="C199" s="488" t="s">
        <v>1248</v>
      </c>
      <c r="D199" s="488" t="s">
        <v>346</v>
      </c>
      <c r="E199" s="488" t="s">
        <v>553</v>
      </c>
      <c r="F199" s="489">
        <v>7295922</v>
      </c>
      <c r="G199" s="489">
        <v>0</v>
      </c>
      <c r="H199" s="553">
        <v>0</v>
      </c>
      <c r="I199" s="552"/>
      <c r="J199" s="489">
        <v>7295922</v>
      </c>
      <c r="K199" s="489">
        <v>7086200.79</v>
      </c>
      <c r="L199" s="489">
        <v>0</v>
      </c>
      <c r="M199" s="490">
        <v>0.97125500930519815</v>
      </c>
      <c r="N199" s="490">
        <v>0</v>
      </c>
      <c r="O199" s="554">
        <v>0</v>
      </c>
      <c r="P199" s="551"/>
      <c r="Q199" s="552"/>
      <c r="R199" s="488">
        <v>55</v>
      </c>
      <c r="S199" s="489">
        <v>7086200.79</v>
      </c>
      <c r="T199" s="489">
        <v>0</v>
      </c>
      <c r="U199" s="490">
        <v>0.97125500930519815</v>
      </c>
      <c r="V199" s="490">
        <v>0</v>
      </c>
      <c r="W199" s="490">
        <v>0</v>
      </c>
      <c r="X199" s="488">
        <v>55</v>
      </c>
      <c r="Y199" s="489">
        <v>7086200.79</v>
      </c>
      <c r="Z199" s="489">
        <v>0</v>
      </c>
      <c r="AB199" s="490">
        <v>0.97125500930519815</v>
      </c>
      <c r="AC199" s="490">
        <v>0</v>
      </c>
      <c r="AD199" s="490">
        <v>0</v>
      </c>
      <c r="AE199" s="488">
        <v>55</v>
      </c>
      <c r="AF199" s="489">
        <v>7086200.79</v>
      </c>
      <c r="AG199" s="489">
        <v>0</v>
      </c>
      <c r="AH199" s="490">
        <v>0.97125500930519815</v>
      </c>
      <c r="AI199" s="490">
        <v>0</v>
      </c>
      <c r="AJ199" s="490">
        <v>0</v>
      </c>
    </row>
    <row r="200" spans="2:36" ht="89.25" x14ac:dyDescent="0.25">
      <c r="B200" s="488" t="s">
        <v>338</v>
      </c>
      <c r="C200" s="488" t="s">
        <v>589</v>
      </c>
      <c r="D200" s="488" t="s">
        <v>346</v>
      </c>
      <c r="E200" s="488" t="s">
        <v>590</v>
      </c>
      <c r="F200" s="489">
        <v>4746596</v>
      </c>
      <c r="G200" s="489">
        <v>0</v>
      </c>
      <c r="H200" s="553">
        <v>0</v>
      </c>
      <c r="I200" s="552"/>
      <c r="J200" s="489">
        <v>4746596</v>
      </c>
      <c r="K200" s="489">
        <v>4744870.0599999996</v>
      </c>
      <c r="L200" s="489">
        <v>0</v>
      </c>
      <c r="M200" s="490">
        <v>0.99963638363155405</v>
      </c>
      <c r="N200" s="490">
        <v>0</v>
      </c>
      <c r="O200" s="554">
        <v>0</v>
      </c>
      <c r="P200" s="551"/>
      <c r="Q200" s="552"/>
      <c r="R200" s="488">
        <v>1</v>
      </c>
      <c r="S200" s="489">
        <v>4744870.0599999996</v>
      </c>
      <c r="T200" s="489">
        <v>0</v>
      </c>
      <c r="U200" s="490">
        <v>0.99963638363155405</v>
      </c>
      <c r="V200" s="490">
        <v>0</v>
      </c>
      <c r="W200" s="490">
        <v>0</v>
      </c>
      <c r="X200" s="488">
        <v>1</v>
      </c>
      <c r="Y200" s="489">
        <v>4744870.0599999996</v>
      </c>
      <c r="Z200" s="489">
        <v>0</v>
      </c>
      <c r="AB200" s="490">
        <v>0.99963638363155405</v>
      </c>
      <c r="AC200" s="490">
        <v>0</v>
      </c>
      <c r="AD200" s="490">
        <v>0</v>
      </c>
      <c r="AE200" s="488">
        <v>1</v>
      </c>
      <c r="AF200" s="489">
        <v>4744870.0599999996</v>
      </c>
      <c r="AG200" s="489">
        <v>0</v>
      </c>
      <c r="AH200" s="490">
        <v>0.99963638363155405</v>
      </c>
      <c r="AI200" s="490">
        <v>0</v>
      </c>
      <c r="AJ200" s="490">
        <v>0</v>
      </c>
    </row>
    <row r="201" spans="2:36" ht="51" x14ac:dyDescent="0.25">
      <c r="B201" s="488" t="s">
        <v>455</v>
      </c>
      <c r="C201" s="488" t="s">
        <v>591</v>
      </c>
      <c r="D201" s="488" t="s">
        <v>346</v>
      </c>
      <c r="E201" s="488" t="s">
        <v>590</v>
      </c>
      <c r="F201" s="489">
        <v>36850225</v>
      </c>
      <c r="G201" s="489">
        <v>0</v>
      </c>
      <c r="H201" s="553">
        <v>0</v>
      </c>
      <c r="I201" s="552"/>
      <c r="J201" s="489">
        <v>36850225</v>
      </c>
      <c r="K201" s="489">
        <v>36325543.689999998</v>
      </c>
      <c r="L201" s="489">
        <v>0</v>
      </c>
      <c r="M201" s="490">
        <v>0.98576178815733151</v>
      </c>
      <c r="N201" s="490">
        <v>0</v>
      </c>
      <c r="O201" s="554">
        <v>0</v>
      </c>
      <c r="P201" s="551"/>
      <c r="Q201" s="552"/>
      <c r="R201" s="488">
        <v>97</v>
      </c>
      <c r="S201" s="489">
        <v>36325543.689999998</v>
      </c>
      <c r="T201" s="489">
        <v>0</v>
      </c>
      <c r="U201" s="490">
        <v>0.98576178815733151</v>
      </c>
      <c r="V201" s="490">
        <v>0</v>
      </c>
      <c r="W201" s="490">
        <v>0</v>
      </c>
      <c r="X201" s="488">
        <v>97</v>
      </c>
      <c r="Y201" s="489">
        <v>36325543.689999998</v>
      </c>
      <c r="Z201" s="489">
        <v>0</v>
      </c>
      <c r="AB201" s="490">
        <v>0.98576178815733151</v>
      </c>
      <c r="AC201" s="490">
        <v>0</v>
      </c>
      <c r="AD201" s="490">
        <v>0</v>
      </c>
      <c r="AE201" s="488">
        <v>97</v>
      </c>
      <c r="AF201" s="489">
        <v>36319974.939999998</v>
      </c>
      <c r="AG201" s="489">
        <v>0</v>
      </c>
      <c r="AH201" s="490">
        <v>0.9856106696770508</v>
      </c>
      <c r="AI201" s="490">
        <v>0</v>
      </c>
      <c r="AJ201" s="490">
        <v>0</v>
      </c>
    </row>
    <row r="202" spans="2:36" ht="25.5" x14ac:dyDescent="0.25">
      <c r="B202" s="488" t="s">
        <v>339</v>
      </c>
      <c r="C202" s="488" t="s">
        <v>592</v>
      </c>
      <c r="D202" s="488" t="s">
        <v>346</v>
      </c>
      <c r="E202" s="488" t="s">
        <v>590</v>
      </c>
      <c r="F202" s="489">
        <v>10093277</v>
      </c>
      <c r="G202" s="489">
        <v>0</v>
      </c>
      <c r="H202" s="553">
        <v>0</v>
      </c>
      <c r="I202" s="552"/>
      <c r="J202" s="489">
        <v>10093277</v>
      </c>
      <c r="K202" s="489">
        <v>9918589.5700000003</v>
      </c>
      <c r="L202" s="489">
        <v>0</v>
      </c>
      <c r="M202" s="490">
        <v>0.98269269435486617</v>
      </c>
      <c r="N202" s="490">
        <v>0</v>
      </c>
      <c r="O202" s="554">
        <v>0</v>
      </c>
      <c r="P202" s="551"/>
      <c r="Q202" s="552"/>
      <c r="R202" s="488">
        <v>1</v>
      </c>
      <c r="S202" s="489">
        <v>9918589.5700000003</v>
      </c>
      <c r="T202" s="489">
        <v>0</v>
      </c>
      <c r="U202" s="490">
        <v>0.98269269435486617</v>
      </c>
      <c r="V202" s="490">
        <v>0</v>
      </c>
      <c r="W202" s="490">
        <v>0</v>
      </c>
      <c r="X202" s="488">
        <v>1</v>
      </c>
      <c r="Y202" s="489">
        <v>9918589.5700000003</v>
      </c>
      <c r="Z202" s="489">
        <v>0</v>
      </c>
      <c r="AB202" s="490">
        <v>0.98269269435486617</v>
      </c>
      <c r="AC202" s="490">
        <v>0</v>
      </c>
      <c r="AD202" s="490">
        <v>0</v>
      </c>
      <c r="AE202" s="488">
        <v>1</v>
      </c>
      <c r="AF202" s="489">
        <v>9918589.5700000003</v>
      </c>
      <c r="AG202" s="489">
        <v>0</v>
      </c>
      <c r="AH202" s="490">
        <v>0.98269269435486617</v>
      </c>
      <c r="AI202" s="490">
        <v>0</v>
      </c>
      <c r="AJ202" s="490">
        <v>0</v>
      </c>
    </row>
    <row r="203" spans="2:36" ht="25.5" x14ac:dyDescent="0.25">
      <c r="B203" s="488" t="s">
        <v>340</v>
      </c>
      <c r="C203" s="488" t="s">
        <v>593</v>
      </c>
      <c r="D203" s="488" t="s">
        <v>346</v>
      </c>
      <c r="E203" s="488" t="s">
        <v>590</v>
      </c>
      <c r="F203" s="489">
        <v>26756948</v>
      </c>
      <c r="G203" s="489">
        <v>0</v>
      </c>
      <c r="H203" s="553">
        <v>0</v>
      </c>
      <c r="I203" s="552"/>
      <c r="J203" s="489">
        <v>26756948</v>
      </c>
      <c r="K203" s="489">
        <v>26406954.120000001</v>
      </c>
      <c r="L203" s="489">
        <v>0</v>
      </c>
      <c r="M203" s="490">
        <v>0.98691951413890699</v>
      </c>
      <c r="N203" s="490">
        <v>0</v>
      </c>
      <c r="O203" s="554">
        <v>0</v>
      </c>
      <c r="P203" s="551"/>
      <c r="Q203" s="552"/>
      <c r="R203" s="488">
        <v>96</v>
      </c>
      <c r="S203" s="489">
        <v>26406954.120000001</v>
      </c>
      <c r="T203" s="489">
        <v>0</v>
      </c>
      <c r="U203" s="490">
        <v>0.98691951413890699</v>
      </c>
      <c r="V203" s="490">
        <v>0</v>
      </c>
      <c r="W203" s="490">
        <v>0</v>
      </c>
      <c r="X203" s="488">
        <v>96</v>
      </c>
      <c r="Y203" s="489">
        <v>26406954.120000001</v>
      </c>
      <c r="Z203" s="489">
        <v>0</v>
      </c>
      <c r="AB203" s="490">
        <v>0.98691951413890699</v>
      </c>
      <c r="AC203" s="490">
        <v>0</v>
      </c>
      <c r="AD203" s="490">
        <v>0</v>
      </c>
      <c r="AE203" s="488">
        <v>96</v>
      </c>
      <c r="AF203" s="489">
        <v>26401385.370000001</v>
      </c>
      <c r="AG203" s="489">
        <v>0</v>
      </c>
      <c r="AH203" s="490">
        <v>0.98671139062646462</v>
      </c>
      <c r="AI203" s="490">
        <v>0</v>
      </c>
      <c r="AJ203" s="490">
        <v>0</v>
      </c>
    </row>
    <row r="204" spans="2:36" ht="51" x14ac:dyDescent="0.25">
      <c r="B204" s="488" t="s">
        <v>341</v>
      </c>
      <c r="C204" s="488" t="s">
        <v>139</v>
      </c>
      <c r="D204" s="488" t="s">
        <v>346</v>
      </c>
      <c r="E204" s="488" t="s">
        <v>590</v>
      </c>
      <c r="F204" s="489">
        <v>14534059</v>
      </c>
      <c r="G204" s="489">
        <v>0</v>
      </c>
      <c r="H204" s="553">
        <v>1589796</v>
      </c>
      <c r="I204" s="552"/>
      <c r="J204" s="489">
        <v>16123855</v>
      </c>
      <c r="K204" s="489">
        <v>16123855</v>
      </c>
      <c r="L204" s="489">
        <v>0</v>
      </c>
      <c r="M204" s="490">
        <v>1.1093841713453896</v>
      </c>
      <c r="N204" s="490">
        <v>0</v>
      </c>
      <c r="O204" s="554">
        <v>0</v>
      </c>
      <c r="P204" s="551"/>
      <c r="Q204" s="552"/>
      <c r="R204" s="488">
        <v>1</v>
      </c>
      <c r="S204" s="489">
        <v>16123855</v>
      </c>
      <c r="T204" s="489">
        <v>0</v>
      </c>
      <c r="U204" s="490">
        <v>1.1093841713453896</v>
      </c>
      <c r="V204" s="490">
        <v>0</v>
      </c>
      <c r="W204" s="490">
        <v>0</v>
      </c>
      <c r="X204" s="488">
        <v>1</v>
      </c>
      <c r="Y204" s="489">
        <v>16123855</v>
      </c>
      <c r="Z204" s="489">
        <v>0</v>
      </c>
      <c r="AB204" s="490">
        <v>1.1093841713453896</v>
      </c>
      <c r="AC204" s="490">
        <v>0</v>
      </c>
      <c r="AD204" s="490">
        <v>0</v>
      </c>
      <c r="AE204" s="488">
        <v>1</v>
      </c>
      <c r="AF204" s="489">
        <v>16123855</v>
      </c>
      <c r="AG204" s="489">
        <v>0</v>
      </c>
      <c r="AH204" s="490">
        <v>1.1093841713453896</v>
      </c>
      <c r="AI204" s="490">
        <v>0</v>
      </c>
      <c r="AJ204" s="490">
        <v>0</v>
      </c>
    </row>
    <row r="205" spans="2:36" ht="25.5" x14ac:dyDescent="0.25">
      <c r="B205" s="488" t="s">
        <v>342</v>
      </c>
      <c r="C205" s="488" t="s">
        <v>140</v>
      </c>
      <c r="D205" s="488" t="s">
        <v>346</v>
      </c>
      <c r="E205" s="488" t="s">
        <v>590</v>
      </c>
      <c r="F205" s="489">
        <v>11604030</v>
      </c>
      <c r="G205" s="489">
        <v>0</v>
      </c>
      <c r="H205" s="553">
        <v>0</v>
      </c>
      <c r="I205" s="552"/>
      <c r="J205" s="489">
        <v>11604030</v>
      </c>
      <c r="K205" s="489">
        <v>11417287.84</v>
      </c>
      <c r="L205" s="489">
        <v>0</v>
      </c>
      <c r="M205" s="490">
        <v>0.98390712881645426</v>
      </c>
      <c r="N205" s="490">
        <v>0</v>
      </c>
      <c r="O205" s="554">
        <v>0</v>
      </c>
      <c r="P205" s="551"/>
      <c r="Q205" s="552"/>
      <c r="R205" s="488">
        <v>1</v>
      </c>
      <c r="S205" s="489">
        <v>11417287.84</v>
      </c>
      <c r="T205" s="489">
        <v>0</v>
      </c>
      <c r="U205" s="490">
        <v>0.98390712881645426</v>
      </c>
      <c r="V205" s="490">
        <v>0</v>
      </c>
      <c r="W205" s="490">
        <v>0</v>
      </c>
      <c r="X205" s="488">
        <v>1</v>
      </c>
      <c r="Y205" s="489">
        <v>11417287.84</v>
      </c>
      <c r="Z205" s="489">
        <v>0</v>
      </c>
      <c r="AB205" s="490">
        <v>0.98390712881645426</v>
      </c>
      <c r="AC205" s="490">
        <v>0</v>
      </c>
      <c r="AD205" s="490">
        <v>0</v>
      </c>
      <c r="AE205" s="488">
        <v>1</v>
      </c>
      <c r="AF205" s="489">
        <v>11417287.84</v>
      </c>
      <c r="AG205" s="489">
        <v>0</v>
      </c>
      <c r="AH205" s="490">
        <v>0.98390712881645426</v>
      </c>
      <c r="AI205" s="490">
        <v>0</v>
      </c>
      <c r="AJ205" s="490">
        <v>0</v>
      </c>
    </row>
    <row r="206" spans="2:36" ht="51" x14ac:dyDescent="0.25">
      <c r="B206" s="488" t="s">
        <v>1294</v>
      </c>
      <c r="C206" s="488" t="s">
        <v>1526</v>
      </c>
      <c r="D206" s="488" t="s">
        <v>346</v>
      </c>
      <c r="E206" s="488" t="s">
        <v>590</v>
      </c>
      <c r="F206" s="489">
        <v>6809331</v>
      </c>
      <c r="G206" s="489">
        <v>4259331</v>
      </c>
      <c r="H206" s="553">
        <v>0</v>
      </c>
      <c r="I206" s="552"/>
      <c r="J206" s="489">
        <v>6809331</v>
      </c>
      <c r="K206" s="489">
        <v>6809331</v>
      </c>
      <c r="L206" s="489">
        <v>4259331</v>
      </c>
      <c r="M206" s="490">
        <v>1</v>
      </c>
      <c r="N206" s="490">
        <v>0</v>
      </c>
      <c r="O206" s="554">
        <v>0</v>
      </c>
      <c r="P206" s="551"/>
      <c r="Q206" s="552"/>
      <c r="R206" s="488">
        <v>1</v>
      </c>
      <c r="S206" s="489">
        <v>6809331</v>
      </c>
      <c r="T206" s="489">
        <v>4259331</v>
      </c>
      <c r="U206" s="490">
        <v>1</v>
      </c>
      <c r="V206" s="490">
        <v>0</v>
      </c>
      <c r="W206" s="490">
        <v>0</v>
      </c>
      <c r="X206" s="488">
        <v>1</v>
      </c>
      <c r="Y206" s="489">
        <v>6809331</v>
      </c>
      <c r="Z206" s="489">
        <v>4259331</v>
      </c>
      <c r="AB206" s="490">
        <v>1</v>
      </c>
      <c r="AC206" s="490">
        <v>0</v>
      </c>
      <c r="AD206" s="490">
        <v>0</v>
      </c>
      <c r="AE206" s="488">
        <v>1</v>
      </c>
      <c r="AF206" s="489">
        <v>6809331</v>
      </c>
      <c r="AG206" s="489">
        <v>4259331</v>
      </c>
      <c r="AH206" s="490">
        <v>1</v>
      </c>
      <c r="AI206" s="490">
        <v>0</v>
      </c>
      <c r="AJ206" s="490">
        <v>0</v>
      </c>
    </row>
    <row r="207" spans="2:36" ht="89.25" x14ac:dyDescent="0.25">
      <c r="B207" s="488" t="s">
        <v>594</v>
      </c>
      <c r="C207" s="488" t="s">
        <v>595</v>
      </c>
      <c r="D207" s="488"/>
      <c r="E207" s="488"/>
      <c r="F207" s="489">
        <v>331050148</v>
      </c>
      <c r="G207" s="489">
        <v>51573785</v>
      </c>
      <c r="H207" s="553">
        <v>12940597</v>
      </c>
      <c r="I207" s="552"/>
      <c r="J207" s="489">
        <v>343990745</v>
      </c>
      <c r="K207" s="489">
        <v>289715599.70999998</v>
      </c>
      <c r="L207" s="489">
        <v>49678760.5</v>
      </c>
      <c r="M207" s="490">
        <v>0.87514112728927096</v>
      </c>
      <c r="N207" s="490">
        <v>0</v>
      </c>
      <c r="O207" s="554">
        <v>0</v>
      </c>
      <c r="P207" s="551"/>
      <c r="Q207" s="552"/>
      <c r="R207" s="488">
        <v>437</v>
      </c>
      <c r="S207" s="489">
        <v>289715599.70999998</v>
      </c>
      <c r="T207" s="489">
        <v>49678760.5</v>
      </c>
      <c r="U207" s="490">
        <v>0.87514112728927096</v>
      </c>
      <c r="V207" s="490">
        <v>0</v>
      </c>
      <c r="W207" s="490">
        <v>0</v>
      </c>
      <c r="X207" s="488">
        <v>437</v>
      </c>
      <c r="Y207" s="489">
        <v>289715599.70999998</v>
      </c>
      <c r="Z207" s="489">
        <v>49678760.5</v>
      </c>
      <c r="AB207" s="490">
        <v>0.87514112728927096</v>
      </c>
      <c r="AC207" s="490">
        <v>0</v>
      </c>
      <c r="AD207" s="490">
        <v>0</v>
      </c>
      <c r="AE207" s="488">
        <v>437</v>
      </c>
      <c r="AF207" s="489">
        <v>283647077.89999998</v>
      </c>
      <c r="AG207" s="489">
        <v>46399851.5</v>
      </c>
      <c r="AH207" s="490">
        <v>0.85681000178861122</v>
      </c>
      <c r="AI207" s="490">
        <v>0</v>
      </c>
      <c r="AJ207" s="490">
        <v>0</v>
      </c>
    </row>
    <row r="208" spans="2:36" ht="38.25" x14ac:dyDescent="0.25">
      <c r="B208" s="488" t="s">
        <v>596</v>
      </c>
      <c r="C208" s="488" t="s">
        <v>597</v>
      </c>
      <c r="D208" s="488" t="s">
        <v>344</v>
      </c>
      <c r="E208" s="488" t="s">
        <v>553</v>
      </c>
      <c r="F208" s="489">
        <v>45695733</v>
      </c>
      <c r="G208" s="489">
        <v>0</v>
      </c>
      <c r="H208" s="553">
        <v>0</v>
      </c>
      <c r="I208" s="552"/>
      <c r="J208" s="489">
        <v>45695733</v>
      </c>
      <c r="K208" s="489">
        <v>42922120.390000001</v>
      </c>
      <c r="L208" s="489">
        <v>0</v>
      </c>
      <c r="M208" s="490">
        <v>0.9393025906817164</v>
      </c>
      <c r="N208" s="490">
        <v>0</v>
      </c>
      <c r="O208" s="554">
        <v>0</v>
      </c>
      <c r="P208" s="551"/>
      <c r="Q208" s="552"/>
      <c r="R208" s="488">
        <v>71</v>
      </c>
      <c r="S208" s="489">
        <v>42922120.390000001</v>
      </c>
      <c r="T208" s="489">
        <v>0</v>
      </c>
      <c r="U208" s="490">
        <v>0.9393025906817164</v>
      </c>
      <c r="V208" s="490">
        <v>0</v>
      </c>
      <c r="W208" s="490">
        <v>0</v>
      </c>
      <c r="X208" s="488">
        <v>71</v>
      </c>
      <c r="Y208" s="489">
        <v>42922120.390000001</v>
      </c>
      <c r="Z208" s="489">
        <v>0</v>
      </c>
      <c r="AB208" s="490">
        <v>0.9393025906817164</v>
      </c>
      <c r="AC208" s="490">
        <v>0</v>
      </c>
      <c r="AD208" s="490">
        <v>0</v>
      </c>
      <c r="AE208" s="488">
        <v>71</v>
      </c>
      <c r="AF208" s="489">
        <v>42915996.450000003</v>
      </c>
      <c r="AG208" s="489">
        <v>0</v>
      </c>
      <c r="AH208" s="490">
        <v>0.93916857510525109</v>
      </c>
      <c r="AI208" s="490">
        <v>0</v>
      </c>
      <c r="AJ208" s="490">
        <v>0</v>
      </c>
    </row>
    <row r="209" spans="2:36" ht="25.5" x14ac:dyDescent="0.25">
      <c r="B209" s="488" t="s">
        <v>343</v>
      </c>
      <c r="C209" s="488" t="s">
        <v>223</v>
      </c>
      <c r="D209" s="488" t="s">
        <v>344</v>
      </c>
      <c r="E209" s="488" t="s">
        <v>553</v>
      </c>
      <c r="F209" s="489">
        <v>43101670</v>
      </c>
      <c r="G209" s="489">
        <v>0</v>
      </c>
      <c r="H209" s="553">
        <v>0</v>
      </c>
      <c r="I209" s="552"/>
      <c r="J209" s="489">
        <v>43101670</v>
      </c>
      <c r="K209" s="489">
        <v>40839418.009999998</v>
      </c>
      <c r="L209" s="489">
        <v>0</v>
      </c>
      <c r="M209" s="490">
        <v>0.94751358845260525</v>
      </c>
      <c r="N209" s="490">
        <v>0</v>
      </c>
      <c r="O209" s="554">
        <v>0</v>
      </c>
      <c r="P209" s="551"/>
      <c r="Q209" s="552"/>
      <c r="R209" s="488">
        <v>69</v>
      </c>
      <c r="S209" s="489">
        <v>40839418.009999998</v>
      </c>
      <c r="T209" s="489">
        <v>0</v>
      </c>
      <c r="U209" s="490">
        <v>0.94751358845260525</v>
      </c>
      <c r="V209" s="490">
        <v>0</v>
      </c>
      <c r="W209" s="490">
        <v>0</v>
      </c>
      <c r="X209" s="488">
        <v>69</v>
      </c>
      <c r="Y209" s="489">
        <v>40839418.009999998</v>
      </c>
      <c r="Z209" s="489">
        <v>0</v>
      </c>
      <c r="AB209" s="490">
        <v>0.94751358845260525</v>
      </c>
      <c r="AC209" s="490">
        <v>0</v>
      </c>
      <c r="AD209" s="490">
        <v>0</v>
      </c>
      <c r="AE209" s="488">
        <v>69</v>
      </c>
      <c r="AF209" s="489">
        <v>40833294.07</v>
      </c>
      <c r="AG209" s="489">
        <v>0</v>
      </c>
      <c r="AH209" s="490">
        <v>0.94737150718290031</v>
      </c>
      <c r="AI209" s="490">
        <v>0</v>
      </c>
      <c r="AJ209" s="490">
        <v>0</v>
      </c>
    </row>
    <row r="210" spans="2:36" ht="25.5" x14ac:dyDescent="0.25">
      <c r="B210" s="488" t="s">
        <v>237</v>
      </c>
      <c r="C210" s="488" t="s">
        <v>1286</v>
      </c>
      <c r="D210" s="488" t="s">
        <v>344</v>
      </c>
      <c r="E210" s="488" t="s">
        <v>553</v>
      </c>
      <c r="F210" s="489">
        <v>2113177</v>
      </c>
      <c r="G210" s="489">
        <v>0</v>
      </c>
      <c r="H210" s="553">
        <v>0</v>
      </c>
      <c r="I210" s="552"/>
      <c r="J210" s="489">
        <v>2113177</v>
      </c>
      <c r="K210" s="489">
        <v>1782086.8</v>
      </c>
      <c r="L210" s="489">
        <v>0</v>
      </c>
      <c r="M210" s="490">
        <v>0.84332112265087122</v>
      </c>
      <c r="N210" s="490">
        <v>0</v>
      </c>
      <c r="O210" s="554">
        <v>0</v>
      </c>
      <c r="P210" s="551"/>
      <c r="Q210" s="552"/>
      <c r="R210" s="488">
        <v>1</v>
      </c>
      <c r="S210" s="489">
        <v>1782086.8</v>
      </c>
      <c r="T210" s="489">
        <v>0</v>
      </c>
      <c r="U210" s="490">
        <v>0.84332112265087122</v>
      </c>
      <c r="V210" s="490">
        <v>0</v>
      </c>
      <c r="W210" s="490">
        <v>0</v>
      </c>
      <c r="X210" s="488">
        <v>1</v>
      </c>
      <c r="Y210" s="489">
        <v>1782086.8</v>
      </c>
      <c r="Z210" s="489">
        <v>0</v>
      </c>
      <c r="AB210" s="490">
        <v>0.84332112265087122</v>
      </c>
      <c r="AC210" s="490">
        <v>0</v>
      </c>
      <c r="AD210" s="490">
        <v>0</v>
      </c>
      <c r="AE210" s="488">
        <v>1</v>
      </c>
      <c r="AF210" s="489">
        <v>1782086.8</v>
      </c>
      <c r="AG210" s="489">
        <v>0</v>
      </c>
      <c r="AH210" s="490">
        <v>0.84332112265087122</v>
      </c>
      <c r="AI210" s="490">
        <v>0</v>
      </c>
      <c r="AJ210" s="490">
        <v>0</v>
      </c>
    </row>
    <row r="211" spans="2:36" ht="25.5" x14ac:dyDescent="0.25">
      <c r="B211" s="488" t="s">
        <v>1544</v>
      </c>
      <c r="C211" s="488" t="s">
        <v>1545</v>
      </c>
      <c r="D211" s="488" t="s">
        <v>344</v>
      </c>
      <c r="E211" s="488" t="s">
        <v>553</v>
      </c>
      <c r="F211" s="489">
        <v>480886</v>
      </c>
      <c r="G211" s="489">
        <v>0</v>
      </c>
      <c r="H211" s="553">
        <v>0</v>
      </c>
      <c r="I211" s="552"/>
      <c r="J211" s="489">
        <v>480886</v>
      </c>
      <c r="K211" s="489">
        <v>300615.58</v>
      </c>
      <c r="L211" s="489">
        <v>0</v>
      </c>
      <c r="M211" s="490">
        <v>0.62512857517166232</v>
      </c>
      <c r="N211" s="490">
        <v>0</v>
      </c>
      <c r="O211" s="554">
        <v>0</v>
      </c>
      <c r="P211" s="551"/>
      <c r="Q211" s="552"/>
      <c r="R211" s="488">
        <v>1</v>
      </c>
      <c r="S211" s="489">
        <v>300615.58</v>
      </c>
      <c r="T211" s="489">
        <v>0</v>
      </c>
      <c r="U211" s="490">
        <v>0.62512857517166232</v>
      </c>
      <c r="V211" s="490">
        <v>0</v>
      </c>
      <c r="W211" s="490">
        <v>0</v>
      </c>
      <c r="X211" s="488">
        <v>1</v>
      </c>
      <c r="Y211" s="489">
        <v>300615.58</v>
      </c>
      <c r="Z211" s="489">
        <v>0</v>
      </c>
      <c r="AB211" s="490">
        <v>0.62512857517166232</v>
      </c>
      <c r="AC211" s="490">
        <v>0</v>
      </c>
      <c r="AD211" s="490">
        <v>0</v>
      </c>
      <c r="AE211" s="488">
        <v>1</v>
      </c>
      <c r="AF211" s="489">
        <v>300615.58</v>
      </c>
      <c r="AG211" s="489">
        <v>0</v>
      </c>
      <c r="AH211" s="490">
        <v>0.62512857517166232</v>
      </c>
      <c r="AI211" s="490">
        <v>0</v>
      </c>
      <c r="AJ211" s="490">
        <v>0</v>
      </c>
    </row>
    <row r="212" spans="2:36" ht="51" x14ac:dyDescent="0.25">
      <c r="B212" s="488" t="s">
        <v>236</v>
      </c>
      <c r="C212" s="488" t="s">
        <v>598</v>
      </c>
      <c r="D212" s="488" t="s">
        <v>344</v>
      </c>
      <c r="E212" s="488" t="s">
        <v>590</v>
      </c>
      <c r="F212" s="489">
        <v>285354415</v>
      </c>
      <c r="G212" s="489">
        <v>51573785</v>
      </c>
      <c r="H212" s="553">
        <v>12940597</v>
      </c>
      <c r="I212" s="552"/>
      <c r="J212" s="489">
        <v>298295012</v>
      </c>
      <c r="K212" s="489">
        <v>246793479.31999999</v>
      </c>
      <c r="L212" s="489">
        <v>49678760.5</v>
      </c>
      <c r="M212" s="490">
        <v>0.86486651808068227</v>
      </c>
      <c r="N212" s="490">
        <v>0</v>
      </c>
      <c r="O212" s="554">
        <v>0</v>
      </c>
      <c r="P212" s="551"/>
      <c r="Q212" s="552"/>
      <c r="R212" s="488">
        <v>366</v>
      </c>
      <c r="S212" s="489">
        <v>246793479.31999999</v>
      </c>
      <c r="T212" s="489">
        <v>49678760.5</v>
      </c>
      <c r="U212" s="490">
        <v>0.86486651808068227</v>
      </c>
      <c r="V212" s="490">
        <v>0</v>
      </c>
      <c r="W212" s="490">
        <v>0</v>
      </c>
      <c r="X212" s="488">
        <v>366</v>
      </c>
      <c r="Y212" s="489">
        <v>246793479.31999999</v>
      </c>
      <c r="Z212" s="489">
        <v>49678760.5</v>
      </c>
      <c r="AB212" s="490">
        <v>0.86486651808068227</v>
      </c>
      <c r="AC212" s="490">
        <v>0</v>
      </c>
      <c r="AD212" s="490">
        <v>0</v>
      </c>
      <c r="AE212" s="488">
        <v>366</v>
      </c>
      <c r="AF212" s="489">
        <v>240731081.44999999</v>
      </c>
      <c r="AG212" s="489">
        <v>46399851.5</v>
      </c>
      <c r="AH212" s="490">
        <v>0.84362136625781659</v>
      </c>
      <c r="AI212" s="490">
        <v>0</v>
      </c>
      <c r="AJ212" s="490">
        <v>0</v>
      </c>
    </row>
    <row r="213" spans="2:36" ht="25.5" x14ac:dyDescent="0.25">
      <c r="B213" s="485" t="s">
        <v>599</v>
      </c>
      <c r="C213" s="485" t="s">
        <v>600</v>
      </c>
      <c r="D213" s="485"/>
      <c r="E213" s="485"/>
      <c r="F213" s="486">
        <v>21420040</v>
      </c>
      <c r="G213" s="486">
        <v>0</v>
      </c>
      <c r="H213" s="555">
        <v>0</v>
      </c>
      <c r="I213" s="552"/>
      <c r="J213" s="486">
        <v>21420040</v>
      </c>
      <c r="K213" s="486">
        <v>20958161.16</v>
      </c>
      <c r="L213" s="486">
        <v>0</v>
      </c>
      <c r="M213" s="487">
        <v>0.97843706921182216</v>
      </c>
      <c r="N213" s="487">
        <v>0</v>
      </c>
      <c r="O213" s="550">
        <v>0</v>
      </c>
      <c r="P213" s="551"/>
      <c r="Q213" s="552"/>
      <c r="R213" s="485">
        <v>44</v>
      </c>
      <c r="S213" s="486">
        <v>20958161.16</v>
      </c>
      <c r="T213" s="486">
        <v>0</v>
      </c>
      <c r="U213" s="487">
        <v>0.97843706921182216</v>
      </c>
      <c r="V213" s="487">
        <v>0</v>
      </c>
      <c r="W213" s="487">
        <v>0</v>
      </c>
      <c r="X213" s="485">
        <v>44</v>
      </c>
      <c r="Y213" s="486">
        <v>20958161.16</v>
      </c>
      <c r="Z213" s="486">
        <v>0</v>
      </c>
      <c r="AB213" s="487">
        <v>0.97843706921182216</v>
      </c>
      <c r="AC213" s="487">
        <v>0</v>
      </c>
      <c r="AD213" s="487">
        <v>0</v>
      </c>
      <c r="AE213" s="485">
        <v>44</v>
      </c>
      <c r="AF213" s="486">
        <v>20958105.09</v>
      </c>
      <c r="AG213" s="486">
        <v>0</v>
      </c>
      <c r="AH213" s="487">
        <v>0.97843445156965159</v>
      </c>
      <c r="AI213" s="487">
        <v>0</v>
      </c>
      <c r="AJ213" s="487">
        <v>0</v>
      </c>
    </row>
    <row r="214" spans="2:36" x14ac:dyDescent="0.25">
      <c r="B214" s="488" t="s">
        <v>359</v>
      </c>
      <c r="C214" s="488" t="s">
        <v>601</v>
      </c>
      <c r="D214" s="488" t="s">
        <v>346</v>
      </c>
      <c r="E214" s="488" t="s">
        <v>602</v>
      </c>
      <c r="F214" s="489">
        <v>2106322</v>
      </c>
      <c r="G214" s="489">
        <v>0</v>
      </c>
      <c r="H214" s="553">
        <v>0</v>
      </c>
      <c r="I214" s="552"/>
      <c r="J214" s="489">
        <v>2106322</v>
      </c>
      <c r="K214" s="489">
        <v>2002863.57</v>
      </c>
      <c r="L214" s="489">
        <v>0</v>
      </c>
      <c r="M214" s="490">
        <v>0.95088194967341177</v>
      </c>
      <c r="N214" s="490">
        <v>0</v>
      </c>
      <c r="O214" s="554">
        <v>0</v>
      </c>
      <c r="P214" s="551"/>
      <c r="Q214" s="552"/>
      <c r="R214" s="488">
        <v>2</v>
      </c>
      <c r="S214" s="489">
        <v>2002863.57</v>
      </c>
      <c r="T214" s="489">
        <v>0</v>
      </c>
      <c r="U214" s="490">
        <v>0.95088194967341177</v>
      </c>
      <c r="V214" s="490">
        <v>0</v>
      </c>
      <c r="W214" s="490">
        <v>0</v>
      </c>
      <c r="X214" s="488">
        <v>2</v>
      </c>
      <c r="Y214" s="489">
        <v>2002863.57</v>
      </c>
      <c r="Z214" s="489">
        <v>0</v>
      </c>
      <c r="AB214" s="490">
        <v>0.95088194967341177</v>
      </c>
      <c r="AC214" s="490">
        <v>0</v>
      </c>
      <c r="AD214" s="490">
        <v>0</v>
      </c>
      <c r="AE214" s="488">
        <v>2</v>
      </c>
      <c r="AF214" s="489">
        <v>2002863.57</v>
      </c>
      <c r="AG214" s="489">
        <v>0</v>
      </c>
      <c r="AH214" s="490">
        <v>0.95088194967341177</v>
      </c>
      <c r="AI214" s="490">
        <v>0</v>
      </c>
      <c r="AJ214" s="490">
        <v>0</v>
      </c>
    </row>
    <row r="215" spans="2:36" ht="38.25" x14ac:dyDescent="0.25">
      <c r="B215" s="488" t="s">
        <v>235</v>
      </c>
      <c r="C215" s="488" t="s">
        <v>603</v>
      </c>
      <c r="D215" s="488" t="s">
        <v>346</v>
      </c>
      <c r="E215" s="488" t="s">
        <v>602</v>
      </c>
      <c r="F215" s="489">
        <v>7101751</v>
      </c>
      <c r="G215" s="489">
        <v>0</v>
      </c>
      <c r="H215" s="553">
        <v>0</v>
      </c>
      <c r="I215" s="552"/>
      <c r="J215" s="489">
        <v>7101751</v>
      </c>
      <c r="K215" s="489">
        <v>6892432.8200000003</v>
      </c>
      <c r="L215" s="489">
        <v>0</v>
      </c>
      <c r="M215" s="490">
        <v>0.97052583510742629</v>
      </c>
      <c r="N215" s="490">
        <v>0</v>
      </c>
      <c r="O215" s="554">
        <v>0</v>
      </c>
      <c r="P215" s="551"/>
      <c r="Q215" s="552"/>
      <c r="R215" s="488">
        <v>22</v>
      </c>
      <c r="S215" s="489">
        <v>6892432.8200000003</v>
      </c>
      <c r="T215" s="489">
        <v>0</v>
      </c>
      <c r="U215" s="490">
        <v>0.97052583510742629</v>
      </c>
      <c r="V215" s="490">
        <v>0</v>
      </c>
      <c r="W215" s="490">
        <v>0</v>
      </c>
      <c r="X215" s="488">
        <v>22</v>
      </c>
      <c r="Y215" s="489">
        <v>6892432.8200000003</v>
      </c>
      <c r="Z215" s="489">
        <v>0</v>
      </c>
      <c r="AB215" s="490">
        <v>0.97052583510742629</v>
      </c>
      <c r="AC215" s="490">
        <v>0</v>
      </c>
      <c r="AD215" s="490">
        <v>0</v>
      </c>
      <c r="AE215" s="488">
        <v>22</v>
      </c>
      <c r="AF215" s="489">
        <v>6892376.75</v>
      </c>
      <c r="AG215" s="489">
        <v>0</v>
      </c>
      <c r="AH215" s="490">
        <v>0.97051793987144863</v>
      </c>
      <c r="AI215" s="490">
        <v>0</v>
      </c>
      <c r="AJ215" s="490">
        <v>0</v>
      </c>
    </row>
    <row r="216" spans="2:36" ht="51" x14ac:dyDescent="0.25">
      <c r="B216" s="488" t="s">
        <v>1250</v>
      </c>
      <c r="C216" s="488" t="s">
        <v>1253</v>
      </c>
      <c r="D216" s="488" t="s">
        <v>346</v>
      </c>
      <c r="E216" s="488" t="s">
        <v>602</v>
      </c>
      <c r="F216" s="489">
        <v>12211967</v>
      </c>
      <c r="G216" s="489">
        <v>0</v>
      </c>
      <c r="H216" s="553">
        <v>0</v>
      </c>
      <c r="I216" s="552"/>
      <c r="J216" s="489">
        <v>12211967</v>
      </c>
      <c r="K216" s="489">
        <v>12062864.77</v>
      </c>
      <c r="L216" s="489">
        <v>0</v>
      </c>
      <c r="M216" s="490">
        <v>0.98779048207385423</v>
      </c>
      <c r="N216" s="490">
        <v>0</v>
      </c>
      <c r="O216" s="554">
        <v>0</v>
      </c>
      <c r="P216" s="551"/>
      <c r="Q216" s="552"/>
      <c r="R216" s="488">
        <v>20</v>
      </c>
      <c r="S216" s="489">
        <v>12062864.77</v>
      </c>
      <c r="T216" s="489">
        <v>0</v>
      </c>
      <c r="U216" s="490">
        <v>0.98779048207385423</v>
      </c>
      <c r="V216" s="490">
        <v>0</v>
      </c>
      <c r="W216" s="490">
        <v>0</v>
      </c>
      <c r="X216" s="488">
        <v>20</v>
      </c>
      <c r="Y216" s="489">
        <v>12062864.77</v>
      </c>
      <c r="Z216" s="489">
        <v>0</v>
      </c>
      <c r="AB216" s="490">
        <v>0.98779048207385423</v>
      </c>
      <c r="AC216" s="490">
        <v>0</v>
      </c>
      <c r="AD216" s="490">
        <v>0</v>
      </c>
      <c r="AE216" s="488">
        <v>20</v>
      </c>
      <c r="AF216" s="489">
        <v>12062864.77</v>
      </c>
      <c r="AG216" s="489">
        <v>0</v>
      </c>
      <c r="AH216" s="490">
        <v>0.98779048207385423</v>
      </c>
      <c r="AI216" s="490">
        <v>0</v>
      </c>
      <c r="AJ216" s="490">
        <v>0</v>
      </c>
    </row>
    <row r="217" spans="2:36" ht="25.5" x14ac:dyDescent="0.25">
      <c r="B217" s="485" t="s">
        <v>604</v>
      </c>
      <c r="C217" s="485" t="s">
        <v>605</v>
      </c>
      <c r="D217" s="485"/>
      <c r="E217" s="485"/>
      <c r="F217" s="486">
        <v>39180553</v>
      </c>
      <c r="G217" s="486">
        <v>0</v>
      </c>
      <c r="H217" s="555">
        <v>0</v>
      </c>
      <c r="I217" s="552"/>
      <c r="J217" s="486">
        <v>39180553</v>
      </c>
      <c r="K217" s="486">
        <v>39151081.200000003</v>
      </c>
      <c r="L217" s="486">
        <v>0</v>
      </c>
      <c r="M217" s="487">
        <v>0.99924779520084872</v>
      </c>
      <c r="N217" s="487">
        <v>0</v>
      </c>
      <c r="O217" s="550">
        <v>0</v>
      </c>
      <c r="P217" s="551"/>
      <c r="Q217" s="552"/>
      <c r="R217" s="485">
        <v>31</v>
      </c>
      <c r="S217" s="486">
        <v>39151081.200000003</v>
      </c>
      <c r="T217" s="486">
        <v>0</v>
      </c>
      <c r="U217" s="487">
        <v>0.99924779520084872</v>
      </c>
      <c r="V217" s="487">
        <v>0</v>
      </c>
      <c r="W217" s="487">
        <v>0</v>
      </c>
      <c r="X217" s="485">
        <v>31</v>
      </c>
      <c r="Y217" s="486">
        <v>39151081.200000003</v>
      </c>
      <c r="Z217" s="486">
        <v>0</v>
      </c>
      <c r="AB217" s="487">
        <v>0.99924779520084872</v>
      </c>
      <c r="AC217" s="487">
        <v>0</v>
      </c>
      <c r="AD217" s="487">
        <v>0</v>
      </c>
      <c r="AE217" s="485">
        <v>31</v>
      </c>
      <c r="AF217" s="486">
        <v>39150971.990000002</v>
      </c>
      <c r="AG217" s="486">
        <v>0</v>
      </c>
      <c r="AH217" s="487">
        <v>0.9992450078486641</v>
      </c>
      <c r="AI217" s="487">
        <v>0</v>
      </c>
      <c r="AJ217" s="487">
        <v>0</v>
      </c>
    </row>
    <row r="218" spans="2:36" ht="25.5" x14ac:dyDescent="0.25">
      <c r="B218" s="488" t="s">
        <v>234</v>
      </c>
      <c r="C218" s="488" t="s">
        <v>148</v>
      </c>
      <c r="D218" s="488" t="s">
        <v>344</v>
      </c>
      <c r="E218" s="488" t="s">
        <v>602</v>
      </c>
      <c r="F218" s="489">
        <v>39180553</v>
      </c>
      <c r="G218" s="489">
        <v>0</v>
      </c>
      <c r="H218" s="553">
        <v>0</v>
      </c>
      <c r="I218" s="552"/>
      <c r="J218" s="489">
        <v>39180553</v>
      </c>
      <c r="K218" s="489">
        <v>39151081.200000003</v>
      </c>
      <c r="L218" s="489">
        <v>0</v>
      </c>
      <c r="M218" s="490">
        <v>0.99924779520084872</v>
      </c>
      <c r="N218" s="490">
        <v>0</v>
      </c>
      <c r="O218" s="554">
        <v>0</v>
      </c>
      <c r="P218" s="551"/>
      <c r="Q218" s="552"/>
      <c r="R218" s="488">
        <v>31</v>
      </c>
      <c r="S218" s="489">
        <v>39151081.200000003</v>
      </c>
      <c r="T218" s="489">
        <v>0</v>
      </c>
      <c r="U218" s="490">
        <v>0.99924779520084872</v>
      </c>
      <c r="V218" s="490">
        <v>0</v>
      </c>
      <c r="W218" s="490">
        <v>0</v>
      </c>
      <c r="X218" s="488">
        <v>31</v>
      </c>
      <c r="Y218" s="489">
        <v>39151081.200000003</v>
      </c>
      <c r="Z218" s="489">
        <v>0</v>
      </c>
      <c r="AB218" s="490">
        <v>0.99924779520084872</v>
      </c>
      <c r="AC218" s="490">
        <v>0</v>
      </c>
      <c r="AD218" s="490">
        <v>0</v>
      </c>
      <c r="AE218" s="488">
        <v>31</v>
      </c>
      <c r="AF218" s="489">
        <v>39150971.990000002</v>
      </c>
      <c r="AG218" s="489">
        <v>0</v>
      </c>
      <c r="AH218" s="490">
        <v>0.9992450078486641</v>
      </c>
      <c r="AI218" s="490">
        <v>0</v>
      </c>
      <c r="AJ218" s="490">
        <v>0</v>
      </c>
    </row>
    <row r="219" spans="2:36" ht="25.5" x14ac:dyDescent="0.25">
      <c r="B219" s="485" t="s">
        <v>606</v>
      </c>
      <c r="C219" s="485" t="s">
        <v>607</v>
      </c>
      <c r="D219" s="485"/>
      <c r="E219" s="485"/>
      <c r="F219" s="486">
        <v>40715710</v>
      </c>
      <c r="G219" s="486">
        <v>0</v>
      </c>
      <c r="H219" s="555">
        <v>0</v>
      </c>
      <c r="I219" s="552"/>
      <c r="J219" s="486">
        <v>40715710</v>
      </c>
      <c r="K219" s="486">
        <v>40697163.219999999</v>
      </c>
      <c r="L219" s="486">
        <v>0</v>
      </c>
      <c r="M219" s="487">
        <v>0.99954448098780546</v>
      </c>
      <c r="N219" s="487">
        <v>0</v>
      </c>
      <c r="O219" s="550">
        <v>0</v>
      </c>
      <c r="P219" s="551"/>
      <c r="Q219" s="552"/>
      <c r="R219" s="485">
        <v>7</v>
      </c>
      <c r="S219" s="486">
        <v>40697163.219999999</v>
      </c>
      <c r="T219" s="486">
        <v>0</v>
      </c>
      <c r="U219" s="487">
        <v>0.99954448098780546</v>
      </c>
      <c r="V219" s="487">
        <v>0</v>
      </c>
      <c r="W219" s="487">
        <v>0</v>
      </c>
      <c r="X219" s="485">
        <v>7</v>
      </c>
      <c r="Y219" s="486">
        <v>40697163.219999999</v>
      </c>
      <c r="Z219" s="486">
        <v>0</v>
      </c>
      <c r="AB219" s="487">
        <v>0.99954448098780546</v>
      </c>
      <c r="AC219" s="487">
        <v>0</v>
      </c>
      <c r="AD219" s="487">
        <v>0</v>
      </c>
      <c r="AE219" s="485">
        <v>7</v>
      </c>
      <c r="AF219" s="486">
        <v>40697163.219999999</v>
      </c>
      <c r="AG219" s="486">
        <v>0</v>
      </c>
      <c r="AH219" s="487">
        <v>0.99954448098780546</v>
      </c>
      <c r="AI219" s="487">
        <v>0</v>
      </c>
      <c r="AJ219" s="487">
        <v>0</v>
      </c>
    </row>
    <row r="220" spans="2:36" ht="25.5" x14ac:dyDescent="0.25">
      <c r="B220" s="488" t="s">
        <v>233</v>
      </c>
      <c r="C220" s="488" t="s">
        <v>149</v>
      </c>
      <c r="D220" s="488" t="s">
        <v>345</v>
      </c>
      <c r="E220" s="488" t="s">
        <v>602</v>
      </c>
      <c r="F220" s="489">
        <v>40715710</v>
      </c>
      <c r="G220" s="489">
        <v>0</v>
      </c>
      <c r="H220" s="553">
        <v>0</v>
      </c>
      <c r="I220" s="552"/>
      <c r="J220" s="489">
        <v>40715710</v>
      </c>
      <c r="K220" s="489">
        <v>40697163.219999999</v>
      </c>
      <c r="L220" s="489">
        <v>0</v>
      </c>
      <c r="M220" s="490">
        <v>0.99954448098780546</v>
      </c>
      <c r="N220" s="490">
        <v>0</v>
      </c>
      <c r="O220" s="554">
        <v>0</v>
      </c>
      <c r="P220" s="551"/>
      <c r="Q220" s="552"/>
      <c r="R220" s="488">
        <v>7</v>
      </c>
      <c r="S220" s="489">
        <v>40697163.219999999</v>
      </c>
      <c r="T220" s="489">
        <v>0</v>
      </c>
      <c r="U220" s="490">
        <v>0.99954448098780546</v>
      </c>
      <c r="V220" s="490">
        <v>0</v>
      </c>
      <c r="W220" s="490">
        <v>0</v>
      </c>
      <c r="X220" s="488">
        <v>7</v>
      </c>
      <c r="Y220" s="489">
        <v>40697163.219999999</v>
      </c>
      <c r="Z220" s="489">
        <v>0</v>
      </c>
      <c r="AB220" s="490">
        <v>0.99954448098780546</v>
      </c>
      <c r="AC220" s="490">
        <v>0</v>
      </c>
      <c r="AD220" s="490">
        <v>0</v>
      </c>
      <c r="AE220" s="488">
        <v>7</v>
      </c>
      <c r="AF220" s="489">
        <v>40697163.219999999</v>
      </c>
      <c r="AG220" s="489">
        <v>0</v>
      </c>
      <c r="AH220" s="490">
        <v>0.99954448098780546</v>
      </c>
      <c r="AI220" s="490">
        <v>0</v>
      </c>
      <c r="AJ220" s="490">
        <v>0</v>
      </c>
    </row>
    <row r="221" spans="2:36" ht="25.5" x14ac:dyDescent="0.25">
      <c r="B221" s="485" t="s">
        <v>1370</v>
      </c>
      <c r="C221" s="485" t="s">
        <v>1470</v>
      </c>
      <c r="D221" s="485"/>
      <c r="E221" s="485"/>
      <c r="F221" s="486">
        <v>10108455</v>
      </c>
      <c r="G221" s="486">
        <v>10108455</v>
      </c>
      <c r="H221" s="555">
        <v>0</v>
      </c>
      <c r="I221" s="552"/>
      <c r="J221" s="486">
        <v>10108455</v>
      </c>
      <c r="K221" s="486">
        <v>9741588.3200000003</v>
      </c>
      <c r="L221" s="486">
        <v>9741643.3900000006</v>
      </c>
      <c r="M221" s="487">
        <v>0.96370694829229586</v>
      </c>
      <c r="N221" s="487">
        <v>0</v>
      </c>
      <c r="O221" s="550">
        <v>0</v>
      </c>
      <c r="P221" s="551"/>
      <c r="Q221" s="552"/>
      <c r="R221" s="485">
        <v>37</v>
      </c>
      <c r="S221" s="486">
        <v>9741588.3200000003</v>
      </c>
      <c r="T221" s="486">
        <v>9741643.3900000006</v>
      </c>
      <c r="U221" s="487">
        <v>0.96370694829229586</v>
      </c>
      <c r="V221" s="487">
        <v>0</v>
      </c>
      <c r="W221" s="487">
        <v>0</v>
      </c>
      <c r="X221" s="485">
        <v>37</v>
      </c>
      <c r="Y221" s="486">
        <v>9741588.3200000003</v>
      </c>
      <c r="Z221" s="486">
        <v>9741643.3900000006</v>
      </c>
      <c r="AB221" s="487">
        <v>0.96370694829229586</v>
      </c>
      <c r="AC221" s="487">
        <v>0</v>
      </c>
      <c r="AD221" s="487">
        <v>0</v>
      </c>
      <c r="AE221" s="485">
        <v>37</v>
      </c>
      <c r="AF221" s="486">
        <v>9741588.3200000003</v>
      </c>
      <c r="AG221" s="486">
        <v>9741588.3200000003</v>
      </c>
      <c r="AH221" s="487">
        <v>0.96370694829229586</v>
      </c>
      <c r="AI221" s="487">
        <v>0</v>
      </c>
      <c r="AJ221" s="487">
        <v>0</v>
      </c>
    </row>
    <row r="222" spans="2:36" ht="51" x14ac:dyDescent="0.25">
      <c r="B222" s="488" t="s">
        <v>1371</v>
      </c>
      <c r="C222" s="488" t="s">
        <v>1575</v>
      </c>
      <c r="D222" s="488"/>
      <c r="E222" s="488"/>
      <c r="F222" s="489">
        <v>10108455</v>
      </c>
      <c r="G222" s="489">
        <v>10108455</v>
      </c>
      <c r="H222" s="553">
        <v>0</v>
      </c>
      <c r="I222" s="552"/>
      <c r="J222" s="489">
        <v>10108455</v>
      </c>
      <c r="K222" s="489">
        <v>9741588.3200000003</v>
      </c>
      <c r="L222" s="489">
        <v>9741643.3900000006</v>
      </c>
      <c r="M222" s="490">
        <v>0.96370694829229586</v>
      </c>
      <c r="N222" s="490">
        <v>0</v>
      </c>
      <c r="O222" s="554">
        <v>0</v>
      </c>
      <c r="P222" s="551"/>
      <c r="Q222" s="552"/>
      <c r="R222" s="488">
        <v>37</v>
      </c>
      <c r="S222" s="489">
        <v>9741588.3200000003</v>
      </c>
      <c r="T222" s="489">
        <v>9741643.3900000006</v>
      </c>
      <c r="U222" s="490">
        <v>0.96370694829229586</v>
      </c>
      <c r="V222" s="490">
        <v>0</v>
      </c>
      <c r="W222" s="490">
        <v>0</v>
      </c>
      <c r="X222" s="488">
        <v>37</v>
      </c>
      <c r="Y222" s="489">
        <v>9741588.3200000003</v>
      </c>
      <c r="Z222" s="489">
        <v>9741643.3900000006</v>
      </c>
      <c r="AB222" s="490">
        <v>0.96370694829229586</v>
      </c>
      <c r="AC222" s="490">
        <v>0</v>
      </c>
      <c r="AD222" s="490">
        <v>0</v>
      </c>
      <c r="AE222" s="488">
        <v>37</v>
      </c>
      <c r="AF222" s="489">
        <v>9741588.3200000003</v>
      </c>
      <c r="AG222" s="489">
        <v>9741588.3200000003</v>
      </c>
      <c r="AH222" s="490">
        <v>0.96370694829229586</v>
      </c>
      <c r="AI222" s="490">
        <v>0</v>
      </c>
      <c r="AJ222" s="490">
        <v>0</v>
      </c>
    </row>
    <row r="223" spans="2:36" ht="25.5" x14ac:dyDescent="0.25">
      <c r="B223" s="488" t="s">
        <v>1373</v>
      </c>
      <c r="C223" s="488" t="s">
        <v>1374</v>
      </c>
      <c r="D223" s="488" t="s">
        <v>344</v>
      </c>
      <c r="E223" s="488" t="s">
        <v>532</v>
      </c>
      <c r="F223" s="489">
        <v>10108455</v>
      </c>
      <c r="G223" s="489">
        <v>10108455</v>
      </c>
      <c r="H223" s="553">
        <v>0</v>
      </c>
      <c r="I223" s="552"/>
      <c r="J223" s="489">
        <v>10108455</v>
      </c>
      <c r="K223" s="489">
        <v>9741588.3200000003</v>
      </c>
      <c r="L223" s="489">
        <v>9741643.3900000006</v>
      </c>
      <c r="M223" s="490">
        <v>0.96370694829229586</v>
      </c>
      <c r="N223" s="490">
        <v>0</v>
      </c>
      <c r="O223" s="554">
        <v>0</v>
      </c>
      <c r="P223" s="551"/>
      <c r="Q223" s="552"/>
      <c r="R223" s="488">
        <v>37</v>
      </c>
      <c r="S223" s="489">
        <v>9741588.3200000003</v>
      </c>
      <c r="T223" s="489">
        <v>9741643.3900000006</v>
      </c>
      <c r="U223" s="490">
        <v>0.96370694829229586</v>
      </c>
      <c r="V223" s="490">
        <v>0</v>
      </c>
      <c r="W223" s="490">
        <v>0</v>
      </c>
      <c r="X223" s="488">
        <v>37</v>
      </c>
      <c r="Y223" s="489">
        <v>9741588.3200000003</v>
      </c>
      <c r="Z223" s="489">
        <v>9741643.3900000006</v>
      </c>
      <c r="AB223" s="490">
        <v>0.96370694829229586</v>
      </c>
      <c r="AC223" s="490">
        <v>0</v>
      </c>
      <c r="AD223" s="490">
        <v>0</v>
      </c>
      <c r="AE223" s="488">
        <v>37</v>
      </c>
      <c r="AF223" s="489">
        <v>9741588.3200000003</v>
      </c>
      <c r="AG223" s="489">
        <v>9741588.3200000003</v>
      </c>
      <c r="AH223" s="490">
        <v>0.96370694829229586</v>
      </c>
      <c r="AI223" s="490">
        <v>0</v>
      </c>
      <c r="AJ223" s="490">
        <v>0</v>
      </c>
    </row>
    <row r="224" spans="2:36" x14ac:dyDescent="0.25">
      <c r="B224" s="488" t="s">
        <v>1517</v>
      </c>
      <c r="C224" s="488" t="s">
        <v>1505</v>
      </c>
      <c r="D224" s="488"/>
      <c r="E224" s="488"/>
      <c r="F224" s="489">
        <v>0</v>
      </c>
      <c r="G224" s="489">
        <v>0</v>
      </c>
      <c r="H224" s="553">
        <v>0</v>
      </c>
      <c r="I224" s="552"/>
      <c r="J224" s="489">
        <v>0</v>
      </c>
      <c r="K224" s="489">
        <v>0</v>
      </c>
      <c r="L224" s="489">
        <v>0</v>
      </c>
      <c r="M224" s="490">
        <v>0</v>
      </c>
      <c r="N224" s="490">
        <v>0</v>
      </c>
      <c r="O224" s="554">
        <v>0</v>
      </c>
      <c r="P224" s="551"/>
      <c r="Q224" s="552"/>
      <c r="R224" s="488">
        <v>0</v>
      </c>
      <c r="S224" s="489">
        <v>0</v>
      </c>
      <c r="T224" s="489">
        <v>0</v>
      </c>
      <c r="U224" s="490">
        <v>0</v>
      </c>
      <c r="V224" s="490">
        <v>0</v>
      </c>
      <c r="W224" s="490">
        <v>0</v>
      </c>
      <c r="X224" s="488">
        <v>0</v>
      </c>
      <c r="Y224" s="489">
        <v>0</v>
      </c>
      <c r="Z224" s="489">
        <v>0</v>
      </c>
      <c r="AB224" s="490">
        <v>0</v>
      </c>
      <c r="AC224" s="490">
        <v>0</v>
      </c>
      <c r="AD224" s="490">
        <v>0</v>
      </c>
      <c r="AE224" s="488">
        <v>0</v>
      </c>
      <c r="AF224" s="489">
        <v>0</v>
      </c>
      <c r="AG224" s="489">
        <v>0</v>
      </c>
      <c r="AH224" s="490">
        <v>0</v>
      </c>
      <c r="AI224" s="490">
        <v>0</v>
      </c>
      <c r="AJ224" s="490">
        <v>0</v>
      </c>
    </row>
    <row r="225" spans="2:36" ht="25.5" x14ac:dyDescent="0.25">
      <c r="B225" s="488" t="s">
        <v>1390</v>
      </c>
      <c r="C225" s="488" t="s">
        <v>1576</v>
      </c>
      <c r="D225" s="488"/>
      <c r="E225" s="488"/>
      <c r="F225" s="489">
        <v>0</v>
      </c>
      <c r="G225" s="489">
        <v>0</v>
      </c>
      <c r="H225" s="553">
        <v>0</v>
      </c>
      <c r="I225" s="552"/>
      <c r="J225" s="489">
        <v>0</v>
      </c>
      <c r="K225" s="489">
        <v>0</v>
      </c>
      <c r="L225" s="489">
        <v>0</v>
      </c>
      <c r="M225" s="490">
        <v>0</v>
      </c>
      <c r="N225" s="490">
        <v>0</v>
      </c>
      <c r="O225" s="554">
        <v>0</v>
      </c>
      <c r="P225" s="551"/>
      <c r="Q225" s="552"/>
      <c r="R225" s="488">
        <v>0</v>
      </c>
      <c r="S225" s="489">
        <v>0</v>
      </c>
      <c r="T225" s="489">
        <v>0</v>
      </c>
      <c r="U225" s="490">
        <v>0</v>
      </c>
      <c r="V225" s="490">
        <v>0</v>
      </c>
      <c r="W225" s="490">
        <v>0</v>
      </c>
      <c r="X225" s="488">
        <v>0</v>
      </c>
      <c r="Y225" s="489">
        <v>0</v>
      </c>
      <c r="Z225" s="489">
        <v>0</v>
      </c>
      <c r="AB225" s="490">
        <v>0</v>
      </c>
      <c r="AC225" s="490">
        <v>0</v>
      </c>
      <c r="AD225" s="490">
        <v>0</v>
      </c>
      <c r="AE225" s="488">
        <v>0</v>
      </c>
      <c r="AF225" s="489">
        <v>0</v>
      </c>
      <c r="AG225" s="489">
        <v>0</v>
      </c>
      <c r="AH225" s="490">
        <v>0</v>
      </c>
      <c r="AI225" s="490">
        <v>0</v>
      </c>
      <c r="AJ225" s="490">
        <v>0</v>
      </c>
    </row>
    <row r="226" spans="2:36" ht="25.5" x14ac:dyDescent="0.25">
      <c r="B226" s="488" t="s">
        <v>1391</v>
      </c>
      <c r="C226" s="488" t="s">
        <v>1577</v>
      </c>
      <c r="D226" s="488"/>
      <c r="E226" s="488"/>
      <c r="F226" s="489">
        <v>0</v>
      </c>
      <c r="G226" s="489">
        <v>0</v>
      </c>
      <c r="H226" s="553">
        <v>0</v>
      </c>
      <c r="I226" s="552"/>
      <c r="J226" s="489">
        <v>0</v>
      </c>
      <c r="K226" s="489">
        <v>0</v>
      </c>
      <c r="L226" s="489">
        <v>0</v>
      </c>
      <c r="M226" s="490">
        <v>0</v>
      </c>
      <c r="N226" s="490">
        <v>0</v>
      </c>
      <c r="O226" s="554">
        <v>0</v>
      </c>
      <c r="P226" s="551"/>
      <c r="Q226" s="552"/>
      <c r="R226" s="488">
        <v>0</v>
      </c>
      <c r="S226" s="489">
        <v>0</v>
      </c>
      <c r="T226" s="489">
        <v>0</v>
      </c>
      <c r="U226" s="490">
        <v>0</v>
      </c>
      <c r="V226" s="490">
        <v>0</v>
      </c>
      <c r="W226" s="490">
        <v>0</v>
      </c>
      <c r="X226" s="488">
        <v>0</v>
      </c>
      <c r="Y226" s="489">
        <v>0</v>
      </c>
      <c r="Z226" s="489">
        <v>0</v>
      </c>
      <c r="AB226" s="490">
        <v>0</v>
      </c>
      <c r="AC226" s="490">
        <v>0</v>
      </c>
      <c r="AD226" s="490">
        <v>0</v>
      </c>
      <c r="AE226" s="488">
        <v>0</v>
      </c>
      <c r="AF226" s="489">
        <v>0</v>
      </c>
      <c r="AG226" s="489">
        <v>0</v>
      </c>
      <c r="AH226" s="490">
        <v>0</v>
      </c>
      <c r="AI226" s="490">
        <v>0</v>
      </c>
      <c r="AJ226" s="490">
        <v>0</v>
      </c>
    </row>
    <row r="227" spans="2:36" x14ac:dyDescent="0.25">
      <c r="B227" s="488" t="s">
        <v>1520</v>
      </c>
      <c r="C227" s="488" t="s">
        <v>1510</v>
      </c>
      <c r="D227" s="488"/>
      <c r="E227" s="488"/>
      <c r="F227" s="489">
        <v>0</v>
      </c>
      <c r="G227" s="489">
        <v>0</v>
      </c>
      <c r="H227" s="553">
        <v>0</v>
      </c>
      <c r="I227" s="552"/>
      <c r="J227" s="489">
        <v>0</v>
      </c>
      <c r="K227" s="489">
        <v>0</v>
      </c>
      <c r="L227" s="489">
        <v>0</v>
      </c>
      <c r="M227" s="490">
        <v>0</v>
      </c>
      <c r="N227" s="490">
        <v>0</v>
      </c>
      <c r="O227" s="554">
        <v>0</v>
      </c>
      <c r="P227" s="551"/>
      <c r="Q227" s="552"/>
      <c r="R227" s="488">
        <v>0</v>
      </c>
      <c r="S227" s="489">
        <v>0</v>
      </c>
      <c r="T227" s="489">
        <v>0</v>
      </c>
      <c r="U227" s="490">
        <v>0</v>
      </c>
      <c r="V227" s="490">
        <v>0</v>
      </c>
      <c r="W227" s="490">
        <v>0</v>
      </c>
      <c r="X227" s="488">
        <v>0</v>
      </c>
      <c r="Y227" s="489">
        <v>0</v>
      </c>
      <c r="Z227" s="489">
        <v>0</v>
      </c>
      <c r="AB227" s="490">
        <v>0</v>
      </c>
      <c r="AC227" s="490">
        <v>0</v>
      </c>
      <c r="AD227" s="490">
        <v>0</v>
      </c>
      <c r="AE227" s="488">
        <v>0</v>
      </c>
      <c r="AF227" s="489">
        <v>0</v>
      </c>
      <c r="AG227" s="489">
        <v>0</v>
      </c>
      <c r="AH227" s="490">
        <v>0</v>
      </c>
      <c r="AI227" s="490">
        <v>0</v>
      </c>
      <c r="AJ227" s="490">
        <v>0</v>
      </c>
    </row>
    <row r="228" spans="2:36" x14ac:dyDescent="0.25">
      <c r="B228" s="488" t="s">
        <v>1521</v>
      </c>
      <c r="C228" s="488" t="s">
        <v>1513</v>
      </c>
      <c r="D228" s="488"/>
      <c r="E228" s="488"/>
      <c r="F228" s="489">
        <v>0</v>
      </c>
      <c r="G228" s="489">
        <v>0</v>
      </c>
      <c r="H228" s="553">
        <v>0</v>
      </c>
      <c r="I228" s="552"/>
      <c r="J228" s="489">
        <v>0</v>
      </c>
      <c r="K228" s="489">
        <v>0</v>
      </c>
      <c r="L228" s="489">
        <v>0</v>
      </c>
      <c r="M228" s="490">
        <v>0</v>
      </c>
      <c r="N228" s="490">
        <v>0</v>
      </c>
      <c r="O228" s="554">
        <v>0</v>
      </c>
      <c r="P228" s="551"/>
      <c r="Q228" s="552"/>
      <c r="R228" s="488">
        <v>0</v>
      </c>
      <c r="S228" s="489">
        <v>0</v>
      </c>
      <c r="T228" s="489">
        <v>0</v>
      </c>
      <c r="U228" s="490">
        <v>0</v>
      </c>
      <c r="V228" s="490">
        <v>0</v>
      </c>
      <c r="W228" s="490">
        <v>0</v>
      </c>
      <c r="X228" s="488">
        <v>0</v>
      </c>
      <c r="Y228" s="489">
        <v>0</v>
      </c>
      <c r="Z228" s="489">
        <v>0</v>
      </c>
      <c r="AB228" s="490">
        <v>0</v>
      </c>
      <c r="AC228" s="490">
        <v>0</v>
      </c>
      <c r="AD228" s="490">
        <v>0</v>
      </c>
      <c r="AE228" s="488">
        <v>0</v>
      </c>
      <c r="AF228" s="489">
        <v>0</v>
      </c>
      <c r="AG228" s="489">
        <v>0</v>
      </c>
      <c r="AH228" s="490">
        <v>0</v>
      </c>
      <c r="AI228" s="490">
        <v>0</v>
      </c>
      <c r="AJ228" s="490">
        <v>0</v>
      </c>
    </row>
    <row r="229" spans="2:36" ht="25.5" x14ac:dyDescent="0.25">
      <c r="B229" s="488" t="s">
        <v>1600</v>
      </c>
      <c r="C229" s="488" t="s">
        <v>1601</v>
      </c>
      <c r="D229" s="488"/>
      <c r="E229" s="488" t="s">
        <v>487</v>
      </c>
      <c r="F229" s="489">
        <v>0</v>
      </c>
      <c r="G229" s="489">
        <v>0</v>
      </c>
      <c r="H229" s="553">
        <v>60000000</v>
      </c>
      <c r="I229" s="552"/>
      <c r="J229" s="489">
        <v>60000000</v>
      </c>
      <c r="K229" s="489">
        <v>60000000</v>
      </c>
      <c r="L229" s="489">
        <v>0</v>
      </c>
      <c r="M229" s="490">
        <v>0</v>
      </c>
      <c r="N229" s="490">
        <v>0</v>
      </c>
      <c r="O229" s="554">
        <v>0</v>
      </c>
      <c r="P229" s="551"/>
      <c r="Q229" s="552"/>
      <c r="R229" s="488">
        <v>1</v>
      </c>
      <c r="S229" s="489">
        <v>60000000</v>
      </c>
      <c r="T229" s="489">
        <v>0</v>
      </c>
      <c r="U229" s="490">
        <v>0</v>
      </c>
      <c r="V229" s="490">
        <v>0</v>
      </c>
      <c r="W229" s="490">
        <v>0</v>
      </c>
      <c r="X229" s="488">
        <v>1</v>
      </c>
      <c r="Y229" s="489">
        <v>60000000</v>
      </c>
      <c r="Z229" s="489">
        <v>0</v>
      </c>
      <c r="AB229" s="490">
        <v>0</v>
      </c>
      <c r="AC229" s="490">
        <v>0</v>
      </c>
      <c r="AD229" s="490">
        <v>0</v>
      </c>
      <c r="AE229" s="488">
        <v>1</v>
      </c>
      <c r="AF229" s="489">
        <v>60000000</v>
      </c>
      <c r="AG229" s="489">
        <v>0</v>
      </c>
      <c r="AH229" s="490">
        <v>0</v>
      </c>
      <c r="AI229" s="490">
        <v>0</v>
      </c>
      <c r="AJ229" s="490">
        <v>0</v>
      </c>
    </row>
    <row r="230" spans="2:36" ht="12.75" customHeight="1" x14ac:dyDescent="0.25"/>
    <row r="231" spans="2:36" ht="57.6" customHeight="1" x14ac:dyDescent="0.25">
      <c r="B231" s="567" t="s">
        <v>1609</v>
      </c>
      <c r="C231" s="557"/>
      <c r="D231" s="557"/>
      <c r="E231" s="557"/>
      <c r="F231" s="557"/>
      <c r="G231" s="557"/>
      <c r="H231" s="557"/>
      <c r="I231" s="557"/>
      <c r="J231" s="557"/>
      <c r="K231" s="557"/>
      <c r="L231" s="557"/>
      <c r="M231" s="557"/>
      <c r="N231" s="557"/>
      <c r="O231" s="557"/>
      <c r="P231" s="557"/>
      <c r="Q231" s="557"/>
      <c r="R231" s="557"/>
      <c r="S231" s="557"/>
      <c r="T231" s="557"/>
      <c r="U231" s="557"/>
      <c r="V231" s="557"/>
      <c r="W231" s="557"/>
      <c r="X231" s="557"/>
      <c r="Y231" s="557"/>
      <c r="Z231" s="557"/>
    </row>
    <row r="232" spans="2:36" ht="9.9499999999999993" customHeight="1" x14ac:dyDescent="0.25"/>
    <row r="233" spans="2:36" ht="15.95" customHeight="1" x14ac:dyDescent="0.25">
      <c r="B233" s="565" t="s">
        <v>632</v>
      </c>
      <c r="C233" s="557"/>
      <c r="D233" s="566" t="s">
        <v>1613</v>
      </c>
      <c r="E233" s="557"/>
      <c r="F233" s="557"/>
      <c r="G233" s="557"/>
      <c r="H233" s="557"/>
    </row>
    <row r="234" spans="2:36" ht="2.1" customHeight="1" x14ac:dyDescent="0.25"/>
    <row r="235" spans="2:36" ht="17.100000000000001" customHeight="1" x14ac:dyDescent="0.25">
      <c r="B235" s="565" t="s">
        <v>633</v>
      </c>
      <c r="C235" s="557"/>
      <c r="D235" s="566" t="s">
        <v>1312</v>
      </c>
      <c r="E235" s="557"/>
      <c r="F235" s="557"/>
      <c r="G235" s="557"/>
      <c r="H235" s="557"/>
    </row>
    <row r="236" spans="2:36" ht="3" customHeight="1" x14ac:dyDescent="0.25"/>
    <row r="237" spans="2:36" ht="17.100000000000001" customHeight="1" x14ac:dyDescent="0.25">
      <c r="B237" s="565" t="s">
        <v>466</v>
      </c>
      <c r="C237" s="557"/>
      <c r="D237" s="566" t="s">
        <v>1610</v>
      </c>
      <c r="E237" s="557"/>
      <c r="F237" s="557"/>
      <c r="G237" s="557"/>
      <c r="H237" s="557"/>
    </row>
    <row r="238" spans="2:36" ht="2.1" customHeight="1" x14ac:dyDescent="0.25"/>
    <row r="239" spans="2:36" ht="17.100000000000001" customHeight="1" x14ac:dyDescent="0.25">
      <c r="B239" s="565" t="s">
        <v>467</v>
      </c>
      <c r="C239" s="557"/>
      <c r="D239" s="566" t="s">
        <v>1612</v>
      </c>
      <c r="E239" s="557"/>
      <c r="F239" s="557"/>
      <c r="G239" s="557"/>
      <c r="H239" s="557"/>
    </row>
    <row r="240" spans="2:36" ht="81" customHeight="1" x14ac:dyDescent="0.25"/>
  </sheetData>
  <autoFilter ref="B21:AJ229" xr:uid="{00000000-0009-0000-0000-000008000000}">
    <filterColumn colId="6" showButton="0"/>
    <filterColumn colId="13" showButton="0"/>
    <filterColumn colId="14" showButton="0"/>
  </autoFilter>
  <mergeCells count="459">
    <mergeCell ref="B235:C235"/>
    <mergeCell ref="D235:H235"/>
    <mergeCell ref="B237:C237"/>
    <mergeCell ref="D237:H237"/>
    <mergeCell ref="B239:C239"/>
    <mergeCell ref="D239:H239"/>
    <mergeCell ref="O220:Q220"/>
    <mergeCell ref="O221:Q221"/>
    <mergeCell ref="H223:I223"/>
    <mergeCell ref="H228:I228"/>
    <mergeCell ref="O228:Q228"/>
    <mergeCell ref="H229:I229"/>
    <mergeCell ref="O229:Q229"/>
    <mergeCell ref="B231:Z231"/>
    <mergeCell ref="B233:C233"/>
    <mergeCell ref="D233:H233"/>
    <mergeCell ref="H214:I214"/>
    <mergeCell ref="H215:I215"/>
    <mergeCell ref="H216:I216"/>
    <mergeCell ref="H221:I221"/>
    <mergeCell ref="H222:I222"/>
    <mergeCell ref="O222:Q222"/>
    <mergeCell ref="O223:Q223"/>
    <mergeCell ref="O198:Q198"/>
    <mergeCell ref="O199:Q199"/>
    <mergeCell ref="O200:Q200"/>
    <mergeCell ref="O201:Q201"/>
    <mergeCell ref="O202:Q202"/>
    <mergeCell ref="O203:Q203"/>
    <mergeCell ref="O204:Q204"/>
    <mergeCell ref="O205:Q205"/>
    <mergeCell ref="O206:Q206"/>
    <mergeCell ref="H204:I204"/>
    <mergeCell ref="H205:I205"/>
    <mergeCell ref="H206:I206"/>
    <mergeCell ref="H201:I201"/>
    <mergeCell ref="H202:I202"/>
    <mergeCell ref="H203:I203"/>
    <mergeCell ref="H198:I198"/>
    <mergeCell ref="H199:I199"/>
    <mergeCell ref="O189:Q189"/>
    <mergeCell ref="O190:Q190"/>
    <mergeCell ref="O191:Q191"/>
    <mergeCell ref="O192:Q192"/>
    <mergeCell ref="O193:Q193"/>
    <mergeCell ref="O194:Q194"/>
    <mergeCell ref="O195:Q195"/>
    <mergeCell ref="O196:Q196"/>
    <mergeCell ref="O197:Q197"/>
    <mergeCell ref="O180:Q180"/>
    <mergeCell ref="O181:Q181"/>
    <mergeCell ref="O182:Q182"/>
    <mergeCell ref="O183:Q183"/>
    <mergeCell ref="O184:Q184"/>
    <mergeCell ref="O185:Q185"/>
    <mergeCell ref="O186:Q186"/>
    <mergeCell ref="O187:Q187"/>
    <mergeCell ref="O188:Q188"/>
    <mergeCell ref="O171:Q171"/>
    <mergeCell ref="O172:Q172"/>
    <mergeCell ref="O173:Q173"/>
    <mergeCell ref="O174:Q174"/>
    <mergeCell ref="O175:Q175"/>
    <mergeCell ref="O176:Q176"/>
    <mergeCell ref="O177:Q177"/>
    <mergeCell ref="O178:Q178"/>
    <mergeCell ref="O179:Q179"/>
    <mergeCell ref="O162:Q162"/>
    <mergeCell ref="O163:Q163"/>
    <mergeCell ref="O164:Q164"/>
    <mergeCell ref="O165:Q165"/>
    <mergeCell ref="O166:Q166"/>
    <mergeCell ref="O167:Q167"/>
    <mergeCell ref="O168:Q168"/>
    <mergeCell ref="O169:Q169"/>
    <mergeCell ref="O170:Q170"/>
    <mergeCell ref="O153:Q153"/>
    <mergeCell ref="O154:Q154"/>
    <mergeCell ref="O155:Q155"/>
    <mergeCell ref="O156:Q156"/>
    <mergeCell ref="O157:Q157"/>
    <mergeCell ref="O158:Q158"/>
    <mergeCell ref="O159:Q159"/>
    <mergeCell ref="O160:Q160"/>
    <mergeCell ref="O161:Q161"/>
    <mergeCell ref="O144:Q144"/>
    <mergeCell ref="O145:Q145"/>
    <mergeCell ref="O146:Q146"/>
    <mergeCell ref="O147:Q147"/>
    <mergeCell ref="O148:Q148"/>
    <mergeCell ref="O149:Q149"/>
    <mergeCell ref="O150:Q150"/>
    <mergeCell ref="O151:Q151"/>
    <mergeCell ref="O152:Q152"/>
    <mergeCell ref="O135:Q135"/>
    <mergeCell ref="O136:Q136"/>
    <mergeCell ref="O137:Q137"/>
    <mergeCell ref="O138:Q138"/>
    <mergeCell ref="O139:Q139"/>
    <mergeCell ref="O140:Q140"/>
    <mergeCell ref="O141:Q141"/>
    <mergeCell ref="O142:Q142"/>
    <mergeCell ref="O143:Q143"/>
    <mergeCell ref="O126:Q126"/>
    <mergeCell ref="O127:Q127"/>
    <mergeCell ref="O128:Q128"/>
    <mergeCell ref="O129:Q129"/>
    <mergeCell ref="O130:Q130"/>
    <mergeCell ref="O131:Q131"/>
    <mergeCell ref="O132:Q132"/>
    <mergeCell ref="O133:Q133"/>
    <mergeCell ref="O134:Q134"/>
    <mergeCell ref="O117:Q117"/>
    <mergeCell ref="O118:Q118"/>
    <mergeCell ref="O119:Q119"/>
    <mergeCell ref="O120:Q120"/>
    <mergeCell ref="O121:Q121"/>
    <mergeCell ref="O122:Q122"/>
    <mergeCell ref="O123:Q123"/>
    <mergeCell ref="O124:Q124"/>
    <mergeCell ref="O125:Q125"/>
    <mergeCell ref="O108:Q108"/>
    <mergeCell ref="O109:Q109"/>
    <mergeCell ref="O110:Q110"/>
    <mergeCell ref="O111:Q111"/>
    <mergeCell ref="O112:Q112"/>
    <mergeCell ref="O113:Q113"/>
    <mergeCell ref="O114:Q114"/>
    <mergeCell ref="O115:Q115"/>
    <mergeCell ref="O116:Q116"/>
    <mergeCell ref="O99:Q99"/>
    <mergeCell ref="O100:Q100"/>
    <mergeCell ref="O101:Q101"/>
    <mergeCell ref="O102:Q102"/>
    <mergeCell ref="O103:Q103"/>
    <mergeCell ref="O104:Q104"/>
    <mergeCell ref="O105:Q105"/>
    <mergeCell ref="O106:Q106"/>
    <mergeCell ref="O107:Q107"/>
    <mergeCell ref="O90:Q90"/>
    <mergeCell ref="O91:Q91"/>
    <mergeCell ref="O92:Q92"/>
    <mergeCell ref="O93:Q93"/>
    <mergeCell ref="O94:Q94"/>
    <mergeCell ref="O95:Q95"/>
    <mergeCell ref="O96:Q96"/>
    <mergeCell ref="O97:Q97"/>
    <mergeCell ref="O98:Q98"/>
    <mergeCell ref="O81:Q81"/>
    <mergeCell ref="O82:Q82"/>
    <mergeCell ref="O83:Q83"/>
    <mergeCell ref="O85:Q85"/>
    <mergeCell ref="O86:Q86"/>
    <mergeCell ref="O87:Q87"/>
    <mergeCell ref="O88:Q88"/>
    <mergeCell ref="O89:Q89"/>
    <mergeCell ref="O72:Q72"/>
    <mergeCell ref="O73:Q73"/>
    <mergeCell ref="O74:Q74"/>
    <mergeCell ref="O75:Q75"/>
    <mergeCell ref="O76:Q76"/>
    <mergeCell ref="O77:Q77"/>
    <mergeCell ref="O78:Q78"/>
    <mergeCell ref="O79:Q79"/>
    <mergeCell ref="O80:Q80"/>
    <mergeCell ref="O63:Q63"/>
    <mergeCell ref="O64:Q64"/>
    <mergeCell ref="O65:Q65"/>
    <mergeCell ref="O66:Q66"/>
    <mergeCell ref="O67:Q67"/>
    <mergeCell ref="O68:Q68"/>
    <mergeCell ref="O69:Q69"/>
    <mergeCell ref="O70:Q70"/>
    <mergeCell ref="O71:Q71"/>
    <mergeCell ref="O54:Q54"/>
    <mergeCell ref="O55:Q55"/>
    <mergeCell ref="O56:Q56"/>
    <mergeCell ref="O57:Q57"/>
    <mergeCell ref="O58:Q58"/>
    <mergeCell ref="O59:Q59"/>
    <mergeCell ref="O60:Q60"/>
    <mergeCell ref="O61:Q61"/>
    <mergeCell ref="O62:Q62"/>
    <mergeCell ref="H63:I63"/>
    <mergeCell ref="H78:I78"/>
    <mergeCell ref="O17:Q17"/>
    <mergeCell ref="O18:Q18"/>
    <mergeCell ref="O19:Q19"/>
    <mergeCell ref="O20:Q20"/>
    <mergeCell ref="O21:Q21"/>
    <mergeCell ref="O22:Q22"/>
    <mergeCell ref="O23:Q23"/>
    <mergeCell ref="O24:Q24"/>
    <mergeCell ref="O25:Q25"/>
    <mergeCell ref="O26:Q26"/>
    <mergeCell ref="O27:Q27"/>
    <mergeCell ref="O28:Q28"/>
    <mergeCell ref="O29:Q29"/>
    <mergeCell ref="O30:Q30"/>
    <mergeCell ref="O31:Q31"/>
    <mergeCell ref="O32:Q32"/>
    <mergeCell ref="O33:Q33"/>
    <mergeCell ref="O34:Q34"/>
    <mergeCell ref="O35:Q35"/>
    <mergeCell ref="O51:Q51"/>
    <mergeCell ref="O52:Q52"/>
    <mergeCell ref="O53:Q53"/>
    <mergeCell ref="H19:I19"/>
    <mergeCell ref="D7:O7"/>
    <mergeCell ref="D8:O8"/>
    <mergeCell ref="D9:O9"/>
    <mergeCell ref="D10:O10"/>
    <mergeCell ref="O14:Q14"/>
    <mergeCell ref="O15:Q15"/>
    <mergeCell ref="O16:Q16"/>
    <mergeCell ref="H53:I53"/>
    <mergeCell ref="O36:Q36"/>
    <mergeCell ref="O37:Q37"/>
    <mergeCell ref="O38:Q38"/>
    <mergeCell ref="O39:Q39"/>
    <mergeCell ref="O40:Q40"/>
    <mergeCell ref="O41:Q41"/>
    <mergeCell ref="O42:Q42"/>
    <mergeCell ref="O43:Q43"/>
    <mergeCell ref="O44:Q44"/>
    <mergeCell ref="O45:Q45"/>
    <mergeCell ref="O46:Q46"/>
    <mergeCell ref="O47:Q47"/>
    <mergeCell ref="O48:Q48"/>
    <mergeCell ref="O49:Q49"/>
    <mergeCell ref="O50:Q50"/>
    <mergeCell ref="K13:R13"/>
    <mergeCell ref="D5:O5"/>
    <mergeCell ref="D6:O6"/>
    <mergeCell ref="AF13:AJ13"/>
    <mergeCell ref="S13:X13"/>
    <mergeCell ref="Y13:AE13"/>
    <mergeCell ref="B7:C7"/>
    <mergeCell ref="B8:C8"/>
    <mergeCell ref="B9:C9"/>
    <mergeCell ref="H29:I29"/>
    <mergeCell ref="H30:I30"/>
    <mergeCell ref="H31:I31"/>
    <mergeCell ref="H26:I26"/>
    <mergeCell ref="H27:I27"/>
    <mergeCell ref="H28:I28"/>
    <mergeCell ref="B1:C1"/>
    <mergeCell ref="B3:C3"/>
    <mergeCell ref="B5:C5"/>
    <mergeCell ref="B6:C6"/>
    <mergeCell ref="B13:E13"/>
    <mergeCell ref="H14:I14"/>
    <mergeCell ref="B10:C10"/>
    <mergeCell ref="F13:J13"/>
    <mergeCell ref="H23:I23"/>
    <mergeCell ref="H24:I24"/>
    <mergeCell ref="H25:I25"/>
    <mergeCell ref="H15:I15"/>
    <mergeCell ref="H16:I16"/>
    <mergeCell ref="H20:I20"/>
    <mergeCell ref="H21:I21"/>
    <mergeCell ref="H22:I22"/>
    <mergeCell ref="H17:I17"/>
    <mergeCell ref="H18:I18"/>
    <mergeCell ref="H38:I38"/>
    <mergeCell ref="H39:I39"/>
    <mergeCell ref="H40:I40"/>
    <mergeCell ref="H35:I35"/>
    <mergeCell ref="H36:I36"/>
    <mergeCell ref="H37:I37"/>
    <mergeCell ref="H32:I32"/>
    <mergeCell ref="H33:I33"/>
    <mergeCell ref="H34:I34"/>
    <mergeCell ref="H47:I47"/>
    <mergeCell ref="H48:I48"/>
    <mergeCell ref="H49:I49"/>
    <mergeCell ref="H44:I44"/>
    <mergeCell ref="H45:I45"/>
    <mergeCell ref="H46:I46"/>
    <mergeCell ref="H41:I41"/>
    <mergeCell ref="H42:I42"/>
    <mergeCell ref="H43:I43"/>
    <mergeCell ref="H72:I72"/>
    <mergeCell ref="H73:I73"/>
    <mergeCell ref="H74:I74"/>
    <mergeCell ref="H85:I85"/>
    <mergeCell ref="H50:I50"/>
    <mergeCell ref="H51:I51"/>
    <mergeCell ref="H52:I52"/>
    <mergeCell ref="H57:I57"/>
    <mergeCell ref="H58:I58"/>
    <mergeCell ref="H59:I59"/>
    <mergeCell ref="H54:I54"/>
    <mergeCell ref="H55:I55"/>
    <mergeCell ref="H56:I56"/>
    <mergeCell ref="H69:I69"/>
    <mergeCell ref="H70:I70"/>
    <mergeCell ref="H71:I71"/>
    <mergeCell ref="H66:I66"/>
    <mergeCell ref="H67:I67"/>
    <mergeCell ref="H68:I68"/>
    <mergeCell ref="H64:I64"/>
    <mergeCell ref="H65:I65"/>
    <mergeCell ref="H60:I60"/>
    <mergeCell ref="H61:I61"/>
    <mergeCell ref="H62:I62"/>
    <mergeCell ref="H82:I82"/>
    <mergeCell ref="H83:I83"/>
    <mergeCell ref="H80:I80"/>
    <mergeCell ref="H81:I81"/>
    <mergeCell ref="H93:I93"/>
    <mergeCell ref="H79:I79"/>
    <mergeCell ref="H75:I75"/>
    <mergeCell ref="H76:I76"/>
    <mergeCell ref="H77:I77"/>
    <mergeCell ref="H94:I94"/>
    <mergeCell ref="H95:I95"/>
    <mergeCell ref="H90:I90"/>
    <mergeCell ref="H91:I91"/>
    <mergeCell ref="H92:I92"/>
    <mergeCell ref="H88:I88"/>
    <mergeCell ref="H89:I89"/>
    <mergeCell ref="H86:I86"/>
    <mergeCell ref="H87:I87"/>
    <mergeCell ref="H104:I104"/>
    <mergeCell ref="H105:I105"/>
    <mergeCell ref="H106:I106"/>
    <mergeCell ref="H99:I99"/>
    <mergeCell ref="H100:I100"/>
    <mergeCell ref="H103:I103"/>
    <mergeCell ref="H96:I96"/>
    <mergeCell ref="H97:I97"/>
    <mergeCell ref="H98:I98"/>
    <mergeCell ref="H101:I101"/>
    <mergeCell ref="H102:I102"/>
    <mergeCell ref="H113:I113"/>
    <mergeCell ref="H114:I114"/>
    <mergeCell ref="H115:I115"/>
    <mergeCell ref="H110:I110"/>
    <mergeCell ref="H111:I111"/>
    <mergeCell ref="H112:I112"/>
    <mergeCell ref="H107:I107"/>
    <mergeCell ref="H108:I108"/>
    <mergeCell ref="H109:I109"/>
    <mergeCell ref="H123:I123"/>
    <mergeCell ref="H124:I124"/>
    <mergeCell ref="H125:I125"/>
    <mergeCell ref="H119:I119"/>
    <mergeCell ref="H120:I120"/>
    <mergeCell ref="H121:I121"/>
    <mergeCell ref="H116:I116"/>
    <mergeCell ref="H117:I117"/>
    <mergeCell ref="H118:I118"/>
    <mergeCell ref="H122:I122"/>
    <mergeCell ref="H132:I132"/>
    <mergeCell ref="H133:I133"/>
    <mergeCell ref="H134:I134"/>
    <mergeCell ref="H129:I129"/>
    <mergeCell ref="H130:I130"/>
    <mergeCell ref="H131:I131"/>
    <mergeCell ref="H126:I126"/>
    <mergeCell ref="H127:I127"/>
    <mergeCell ref="H128:I128"/>
    <mergeCell ref="H141:I141"/>
    <mergeCell ref="H142:I142"/>
    <mergeCell ref="H143:I143"/>
    <mergeCell ref="H138:I138"/>
    <mergeCell ref="H139:I139"/>
    <mergeCell ref="H140:I140"/>
    <mergeCell ref="H135:I135"/>
    <mergeCell ref="H136:I136"/>
    <mergeCell ref="H137:I137"/>
    <mergeCell ref="H150:I150"/>
    <mergeCell ref="H151:I151"/>
    <mergeCell ref="H152:I152"/>
    <mergeCell ref="H147:I147"/>
    <mergeCell ref="H148:I148"/>
    <mergeCell ref="H149:I149"/>
    <mergeCell ref="H144:I144"/>
    <mergeCell ref="H145:I145"/>
    <mergeCell ref="H146:I146"/>
    <mergeCell ref="H159:I159"/>
    <mergeCell ref="H160:I160"/>
    <mergeCell ref="H161:I161"/>
    <mergeCell ref="H156:I156"/>
    <mergeCell ref="H157:I157"/>
    <mergeCell ref="H158:I158"/>
    <mergeCell ref="H153:I153"/>
    <mergeCell ref="H154:I154"/>
    <mergeCell ref="H155:I155"/>
    <mergeCell ref="H168:I168"/>
    <mergeCell ref="H169:I169"/>
    <mergeCell ref="H170:I170"/>
    <mergeCell ref="H165:I165"/>
    <mergeCell ref="H166:I166"/>
    <mergeCell ref="H167:I167"/>
    <mergeCell ref="H162:I162"/>
    <mergeCell ref="H163:I163"/>
    <mergeCell ref="H164:I164"/>
    <mergeCell ref="H177:I177"/>
    <mergeCell ref="H178:I178"/>
    <mergeCell ref="H179:I179"/>
    <mergeCell ref="H174:I174"/>
    <mergeCell ref="H175:I175"/>
    <mergeCell ref="H176:I176"/>
    <mergeCell ref="H171:I171"/>
    <mergeCell ref="H172:I172"/>
    <mergeCell ref="H173:I173"/>
    <mergeCell ref="H186:I186"/>
    <mergeCell ref="H187:I187"/>
    <mergeCell ref="H188:I188"/>
    <mergeCell ref="H183:I183"/>
    <mergeCell ref="H184:I184"/>
    <mergeCell ref="H185:I185"/>
    <mergeCell ref="H180:I180"/>
    <mergeCell ref="H181:I181"/>
    <mergeCell ref="H182:I182"/>
    <mergeCell ref="H195:I195"/>
    <mergeCell ref="H196:I196"/>
    <mergeCell ref="H197:I197"/>
    <mergeCell ref="H192:I192"/>
    <mergeCell ref="H193:I193"/>
    <mergeCell ref="H194:I194"/>
    <mergeCell ref="H189:I189"/>
    <mergeCell ref="H190:I190"/>
    <mergeCell ref="H191:I191"/>
    <mergeCell ref="H200:I200"/>
    <mergeCell ref="O212:Q212"/>
    <mergeCell ref="H220:I220"/>
    <mergeCell ref="H211:I211"/>
    <mergeCell ref="O211:Q211"/>
    <mergeCell ref="O207:Q207"/>
    <mergeCell ref="O208:Q208"/>
    <mergeCell ref="O209:Q209"/>
    <mergeCell ref="O210:Q210"/>
    <mergeCell ref="O213:Q213"/>
    <mergeCell ref="O214:Q214"/>
    <mergeCell ref="O215:Q215"/>
    <mergeCell ref="O216:Q216"/>
    <mergeCell ref="O217:Q217"/>
    <mergeCell ref="H210:I210"/>
    <mergeCell ref="H212:I212"/>
    <mergeCell ref="H213:I213"/>
    <mergeCell ref="H207:I207"/>
    <mergeCell ref="H208:I208"/>
    <mergeCell ref="H209:I209"/>
    <mergeCell ref="H217:I217"/>
    <mergeCell ref="H218:I218"/>
    <mergeCell ref="H219:I219"/>
    <mergeCell ref="O218:Q218"/>
    <mergeCell ref="O219:Q219"/>
    <mergeCell ref="H224:I224"/>
    <mergeCell ref="O224:Q224"/>
    <mergeCell ref="H225:I225"/>
    <mergeCell ref="O225:Q225"/>
    <mergeCell ref="H226:I226"/>
    <mergeCell ref="O226:Q226"/>
    <mergeCell ref="H227:I227"/>
    <mergeCell ref="O227:Q227"/>
  </mergeCells>
  <pageMargins left="0.78740157480314998" right="0.78740157480314998" top="0.78740157480314998" bottom="0.78740157480314998" header="0.78740157480314998" footer="0.78740157480314998"/>
  <pageSetup paperSize="9" orientation="landscape" horizontalDpi="300" verticalDpi="300"/>
  <headerFooter alignWithMargins="0"/>
  <drawing r:id="rId1"/>
</worksheet>
</file>

<file path=docMetadata/LabelInfo.xml><?xml version="1.0" encoding="utf-8"?>
<clbl:labelList xmlns:clbl="http://schemas.microsoft.com/office/2020/mipLabelMetadata">
  <clbl:label id="{1b8a7570-3ec8-4c4e-9532-5dbb2f157b31}" enabled="1" method="Standard" siteId="{fd50a0e4-c289-4266-b7ff-7d9cf5066e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6</vt:i4>
      </vt:variant>
    </vt:vector>
  </HeadingPairs>
  <TitlesOfParts>
    <vt:vector size="17" baseType="lpstr">
      <vt:lpstr>saīsinājumi_LV_ENG</vt:lpstr>
      <vt:lpstr>Fin_progress</vt:lpstr>
      <vt:lpstr>PV</vt:lpstr>
      <vt:lpstr>AI</vt:lpstr>
      <vt:lpstr>EK_maksājumi</vt:lpstr>
      <vt:lpstr>Grafiks</vt:lpstr>
      <vt:lpstr>Grafiks_pa_investīciju_jomām</vt:lpstr>
      <vt:lpstr>Pasākumu_līmenis</vt:lpstr>
      <vt:lpstr>AtskaiteStatusuTabula</vt:lpstr>
      <vt:lpstr>Grafiks_brīvais_fin_pa_AI</vt:lpstr>
      <vt:lpstr>2. Intervences kategorijas - Pa</vt:lpstr>
      <vt:lpstr>Fin_progress!Print_Area</vt:lpstr>
      <vt:lpstr>Grafiks_brīvais_fin_pa_AI!Print_Area</vt:lpstr>
      <vt:lpstr>Fin_progress!Print_Titles</vt:lpstr>
      <vt:lpstr>Pasākumu_līmenis!Print_Titles</vt:lpstr>
      <vt:lpstr>PV!Print_Titles</vt:lpstr>
      <vt:lpstr>saīsinājumi_LV_ENG!Print_Titles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2026-01-15T10:13:42Z</dcterms:modified>
</cp:coreProperties>
</file>