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IEVIEŠANAS UZRAUDZĪBA\ZIŅOJUMI_MAKSĀJUMU PROGNOZES EK\DP īstenošanas gada ziņojumi\2007-2013\NOSLĒGUMA ZIŅOJUMS\1DP_NZ\6.versija_pec_RI_atzinuma\PIELIKUMI\"/>
    </mc:Choice>
  </mc:AlternateContent>
  <bookViews>
    <workbookView xWindow="0" yWindow="0" windowWidth="28800" windowHeight="11790"/>
  </bookViews>
  <sheets>
    <sheet name="Fin.progress 2007-2013" sheetId="2" r:id="rId1"/>
    <sheet name="Sheet1" sheetId="3" state="hidden" r:id="rId2"/>
    <sheet name="BJS virzieni" sheetId="4" r:id="rId3"/>
    <sheet name="ES 2020 mērķi" sheetId="5" r:id="rId4"/>
  </sheets>
  <definedNames>
    <definedName name="_xlnm._FilterDatabase" localSheetId="0" hidden="1">'Fin.progress 2007-2013'!$A$8:$AK$8</definedName>
    <definedName name="_xlnm.Print_Area" localSheetId="0">'Fin.progress 2007-2013'!$A$1:$AK$139</definedName>
    <definedName name="_xlnm.Print_Titles" localSheetId="0">'Fin.progress 2007-2013'!$5:$8</definedName>
  </definedNames>
  <calcPr calcId="152511"/>
  <customWorkbookViews>
    <customWorkbookView name="Inga Balode - Personal View" guid="{8B78E06E-42F5-46F9-BC31-BE4230723415}" mergeInterval="0" personalView="1" maximized="1" xWindow="1" yWindow="1" windowWidth="1024" windowHeight="542" activeSheetId="1"/>
    <customWorkbookView name="Grante Dita - Personal View" guid="{071BD56D-49F3-4830-AA49-832AB18442DA}" mergeInterval="0" personalView="1" maximized="1" xWindow="1" yWindow="1" windowWidth="1280" windowHeight="804" activeSheetId="1" showComments="commIndAndComment"/>
    <customWorkbookView name="fsd-vilde - Personal View" guid="{CE2F9B1E-42A5-4921-AD2C-BAA2FAE8F84E}" mergeInterval="0" personalView="1" maximized="1" xWindow="1" yWindow="1" windowWidth="1152" windowHeight="643" activeSheetId="1"/>
    <customWorkbookView name="fud-albin - Personal View" guid="{CA72AE52-AB7B-4B59-88FC-62C104034738}" mergeInterval="0" personalView="1" maximized="1" xWindow="1" yWindow="1" windowWidth="1280" windowHeight="782" activeSheetId="1"/>
    <customWorkbookView name="es-dolbu - Personal View" guid="{D16958F7-EADF-470B-BCCB-C285D64A9969}" mergeInterval="0" personalView="1" maximized="1" xWindow="1" yWindow="1" windowWidth="1152" windowHeight="643" activeSheetId="1"/>
    <customWorkbookView name="es-drazn - Personal View" guid="{66F78BDC-EF00-417C-8719-D1DD7D4F8A6F}" mergeInterval="0" personalView="1" maximized="1" xWindow="1" yWindow="1" windowWidth="1152" windowHeight="643" activeSheetId="1"/>
    <customWorkbookView name="it-breik - Personal View" guid="{4D9D6020-4B9F-4592-AF04-6BE675921256}" mergeInterval="0" personalView="1" maximized="1" xWindow="1" yWindow="1" windowWidth="1280" windowHeight="805" activeSheetId="1"/>
    <customWorkbookView name="es-murni - Personal View" guid="{B630F875-ABC6-47AE-A71B-262D51AE3B53}" mergeInterval="0" personalView="1" maximized="1" xWindow="1" yWindow="1" windowWidth="1280" windowHeight="803" tabRatio="325" activeSheetId="1"/>
    <customWorkbookView name="pd-auder - Personal View" guid="{1B3811A1-226A-408D-9227-AFDEB1DA163B}" mergeInterval="0" personalView="1" maximized="1" xWindow="1" yWindow="1" windowWidth="1024" windowHeight="547" activeSheetId="1"/>
    <customWorkbookView name="es-sparn - Personal View" guid="{D856094A-916A-479F-90F3-26AD004B3022}" mergeInterval="0" personalView="1" maximized="1" xWindow="1" yWindow="1" windowWidth="1280" windowHeight="768" activeSheetId="1"/>
    <customWorkbookView name="pd-radvi - Personal View" guid="{F0B32F6D-42BD-46A3-BA22-028FEAFE569C}" mergeInterval="0" personalView="1" maximized="1" xWindow="1" yWindow="1" windowWidth="1280" windowHeight="780" activeSheetId="1"/>
    <customWorkbookView name="es-muran - Personal View" guid="{8B7C6BB7-45FF-402B-981E-E6FFFABEA84E}" mergeInterval="0" personalView="1" maximized="1" xWindow="1" yWindow="1" windowWidth="1280" windowHeight="798" activeSheetId="1" showComments="commIndAndComment"/>
  </customWorkbookViews>
</workbook>
</file>

<file path=xl/calcChain.xml><?xml version="1.0" encoding="utf-8"?>
<calcChain xmlns="http://schemas.openxmlformats.org/spreadsheetml/2006/main">
  <c r="Q101" i="2" l="1"/>
  <c r="Q100" i="2" l="1"/>
  <c r="S100" i="2"/>
  <c r="Q15" i="2"/>
  <c r="AE100" i="2" l="1"/>
  <c r="U118" i="2"/>
  <c r="AB9" i="2" l="1"/>
  <c r="AK9" i="2" l="1"/>
  <c r="AA91" i="2" l="1"/>
  <c r="AB91" i="2" l="1"/>
  <c r="W115" i="2"/>
  <c r="J101" i="2" l="1"/>
  <c r="J100" i="2"/>
  <c r="K100" i="2"/>
  <c r="L100" i="2"/>
  <c r="N101" i="2"/>
  <c r="J92" i="2"/>
  <c r="J91" i="2"/>
  <c r="N91" i="2"/>
  <c r="L91" i="2"/>
  <c r="K91" i="2"/>
  <c r="J87" i="2"/>
  <c r="J86" i="2"/>
  <c r="O86" i="2"/>
  <c r="N86" i="2"/>
  <c r="L86" i="2"/>
  <c r="K86" i="2"/>
  <c r="J84" i="2"/>
  <c r="J85" i="2"/>
  <c r="J66" i="2"/>
  <c r="O65" i="2" l="1"/>
  <c r="N65" i="2"/>
  <c r="J65" i="2"/>
  <c r="L65" i="2"/>
  <c r="K65" i="2"/>
  <c r="U92" i="2" l="1"/>
  <c r="W92" i="2"/>
  <c r="S92" i="2"/>
  <c r="Q66" i="2"/>
  <c r="S66" i="2"/>
  <c r="AA65" i="2"/>
  <c r="AB65" i="2" s="1"/>
  <c r="Z65" i="2" s="1"/>
  <c r="S65" i="2" s="1"/>
  <c r="X65" i="2" l="1"/>
  <c r="W65" i="2"/>
  <c r="Q65" i="2"/>
  <c r="U65" i="2"/>
  <c r="N84" i="2" l="1"/>
  <c r="L84" i="2"/>
  <c r="K84" i="2"/>
  <c r="N100" i="2"/>
  <c r="H9" i="2" l="1"/>
  <c r="G9" i="2"/>
  <c r="H119" i="2"/>
  <c r="G119" i="2"/>
  <c r="H93" i="2"/>
  <c r="G93" i="2"/>
  <c r="H96" i="2"/>
  <c r="G96" i="2"/>
  <c r="G53" i="2"/>
  <c r="G54" i="2"/>
  <c r="G50" i="2"/>
  <c r="H80" i="2"/>
  <c r="G80" i="2"/>
  <c r="H50" i="2"/>
  <c r="G51" i="2"/>
  <c r="R20" i="2" l="1"/>
  <c r="R21" i="2"/>
  <c r="R22" i="2"/>
  <c r="R25" i="2"/>
  <c r="R26" i="2"/>
  <c r="R27" i="2"/>
  <c r="R28" i="2"/>
  <c r="R29" i="2"/>
  <c r="R30" i="2"/>
  <c r="R31" i="2"/>
  <c r="R32" i="2"/>
  <c r="R33" i="2"/>
  <c r="R34" i="2"/>
  <c r="R36" i="2"/>
  <c r="R38" i="2"/>
  <c r="R40" i="2"/>
  <c r="R47" i="2"/>
  <c r="R48" i="2"/>
  <c r="R49" i="2"/>
  <c r="R57" i="2"/>
  <c r="R59" i="2"/>
  <c r="R60" i="2"/>
  <c r="R61" i="2"/>
  <c r="R62" i="2"/>
  <c r="R64" i="2"/>
  <c r="R65" i="2"/>
  <c r="R67" i="2"/>
  <c r="R68" i="2"/>
  <c r="R70" i="2"/>
  <c r="R72" i="2"/>
  <c r="R73" i="2"/>
  <c r="R76" i="2"/>
  <c r="R84" i="2"/>
  <c r="R86" i="2"/>
  <c r="R89" i="2"/>
  <c r="R90" i="2"/>
  <c r="R103" i="2"/>
  <c r="R104" i="2"/>
  <c r="R105" i="2"/>
  <c r="R106" i="2"/>
  <c r="R107" i="2"/>
  <c r="R108" i="2"/>
  <c r="R109" i="2"/>
  <c r="R110" i="2"/>
  <c r="R111" i="2"/>
  <c r="R112" i="2"/>
  <c r="R114" i="2"/>
  <c r="O66" i="2" l="1"/>
  <c r="U66" i="2" l="1"/>
  <c r="L26" i="2" l="1"/>
  <c r="U15" i="2" l="1"/>
  <c r="V15" i="2" l="1"/>
  <c r="L31" i="2"/>
  <c r="L25" i="2" s="1"/>
  <c r="N87" i="2" l="1"/>
  <c r="O87" i="2" s="1"/>
  <c r="U115" i="2" l="1"/>
  <c r="U114" i="2"/>
  <c r="U112" i="2"/>
  <c r="U110" i="2"/>
  <c r="U108" i="2"/>
  <c r="U106" i="2"/>
  <c r="U105" i="2"/>
  <c r="U101" i="2"/>
  <c r="U102" i="2"/>
  <c r="U103" i="2"/>
  <c r="U90" i="2"/>
  <c r="U89" i="2"/>
  <c r="U85" i="2"/>
  <c r="U87" i="2"/>
  <c r="U75" i="2"/>
  <c r="U76" i="2"/>
  <c r="U74" i="2"/>
  <c r="U68" i="2"/>
  <c r="U69" i="2"/>
  <c r="U70" i="2"/>
  <c r="U71" i="2"/>
  <c r="U72" i="2"/>
  <c r="U67" i="2"/>
  <c r="U64" i="2"/>
  <c r="U58" i="2"/>
  <c r="U59" i="2"/>
  <c r="U60" i="2"/>
  <c r="U61" i="2"/>
  <c r="U62" i="2"/>
  <c r="U57" i="2"/>
  <c r="U49" i="2"/>
  <c r="U48" i="2"/>
  <c r="U46" i="2"/>
  <c r="U45" i="2"/>
  <c r="U43" i="2"/>
  <c r="U41" i="2" s="1"/>
  <c r="U42" i="2"/>
  <c r="U39" i="2"/>
  <c r="U40" i="2"/>
  <c r="U38" i="2"/>
  <c r="U33" i="2"/>
  <c r="U34" i="2"/>
  <c r="U32" i="2"/>
  <c r="U28" i="2"/>
  <c r="U29" i="2"/>
  <c r="U30" i="2"/>
  <c r="U27" i="2"/>
  <c r="U23" i="2"/>
  <c r="U22" i="2"/>
  <c r="U20" i="2"/>
  <c r="U19" i="2"/>
  <c r="O15" i="2"/>
  <c r="N15" i="2"/>
  <c r="M15" i="2"/>
  <c r="Q41" i="2"/>
  <c r="M32" i="2" l="1"/>
  <c r="J15" i="2"/>
  <c r="J118" i="2"/>
  <c r="J117" i="2" s="1"/>
  <c r="J116" i="2" s="1"/>
  <c r="J115" i="2"/>
  <c r="J114" i="2"/>
  <c r="J111" i="2"/>
  <c r="J112" i="2"/>
  <c r="J110" i="2"/>
  <c r="J108" i="2"/>
  <c r="J106" i="2"/>
  <c r="J105" i="2"/>
  <c r="J104" i="2" s="1"/>
  <c r="J103" i="2"/>
  <c r="J90" i="2"/>
  <c r="J82" i="2"/>
  <c r="J79" i="2" s="1"/>
  <c r="J89" i="2"/>
  <c r="J76" i="2"/>
  <c r="J73" i="2" s="1"/>
  <c r="J72" i="2"/>
  <c r="J70" i="2"/>
  <c r="J67" i="2"/>
  <c r="J68" i="2"/>
  <c r="J64" i="2"/>
  <c r="J58" i="2"/>
  <c r="J59" i="2"/>
  <c r="J60" i="2"/>
  <c r="J61" i="2"/>
  <c r="J56" i="2" s="1"/>
  <c r="J62" i="2"/>
  <c r="J57" i="2"/>
  <c r="J49" i="2"/>
  <c r="J48" i="2"/>
  <c r="J47" i="2" s="1"/>
  <c r="J46" i="2"/>
  <c r="J41" i="2"/>
  <c r="J40" i="2"/>
  <c r="J38" i="2"/>
  <c r="J36" i="2" s="1"/>
  <c r="J33" i="2"/>
  <c r="J34" i="2"/>
  <c r="J31" i="2" s="1"/>
  <c r="J32" i="2"/>
  <c r="J28" i="2"/>
  <c r="J29" i="2"/>
  <c r="J30" i="2"/>
  <c r="J27" i="2"/>
  <c r="J23" i="2"/>
  <c r="J22" i="2"/>
  <c r="J20" i="2"/>
  <c r="J19" i="2"/>
  <c r="J18" i="2" s="1"/>
  <c r="J109" i="2"/>
  <c r="J107" i="2" s="1"/>
  <c r="J98" i="2"/>
  <c r="J95" i="2" s="1"/>
  <c r="J55" i="2"/>
  <c r="J52" i="2" s="1"/>
  <c r="J44" i="2"/>
  <c r="J63" i="2" l="1"/>
  <c r="J113" i="2"/>
  <c r="J54" i="2"/>
  <c r="J53" i="2" s="1"/>
  <c r="J26" i="2"/>
  <c r="J21" i="2"/>
  <c r="J35" i="2"/>
  <c r="J25" i="2" l="1"/>
  <c r="J24" i="2" s="1"/>
  <c r="J51" i="2"/>
  <c r="J50" i="2" s="1"/>
  <c r="J17" i="2"/>
  <c r="J11" i="2"/>
  <c r="J13" i="2" l="1"/>
  <c r="J12" i="2" s="1"/>
  <c r="J121" i="2"/>
  <c r="AE111" i="2" l="1"/>
  <c r="AI111" i="2"/>
  <c r="AG111" i="2"/>
  <c r="AF111" i="2"/>
  <c r="U111" i="2" s="1"/>
  <c r="Z121" i="2" l="1"/>
  <c r="AA121" i="2"/>
  <c r="AB121" i="2"/>
  <c r="AC121" i="2"/>
  <c r="AD121" i="2"/>
  <c r="AE121" i="2"/>
  <c r="AF121" i="2"/>
  <c r="AG121" i="2"/>
  <c r="AH121" i="2"/>
  <c r="AI121" i="2"/>
  <c r="G121" i="2"/>
  <c r="P119" i="2"/>
  <c r="AC119" i="2"/>
  <c r="AD119" i="2"/>
  <c r="AE119" i="2"/>
  <c r="AF119" i="2"/>
  <c r="AG119" i="2"/>
  <c r="AH119" i="2"/>
  <c r="AI119" i="2"/>
  <c r="S101" i="2"/>
  <c r="Q98" i="2" s="1"/>
  <c r="Q95" i="2" s="1"/>
  <c r="O101" i="2"/>
  <c r="N92" i="2"/>
  <c r="O92" i="2" s="1"/>
  <c r="J88" i="2"/>
  <c r="S85" i="2"/>
  <c r="N85" i="2"/>
  <c r="O85" i="2" s="1"/>
  <c r="Q85" i="2" l="1"/>
  <c r="G98" i="2"/>
  <c r="G95" i="2" s="1"/>
  <c r="H98" i="2"/>
  <c r="H81" i="2"/>
  <c r="G81" i="2"/>
  <c r="H95" i="2" l="1"/>
  <c r="G78" i="2"/>
  <c r="H78" i="2"/>
  <c r="N66" i="2"/>
  <c r="K55" i="2"/>
  <c r="H77" i="2" l="1"/>
  <c r="G55" i="2"/>
  <c r="G52" i="2" l="1"/>
  <c r="H55" i="2"/>
  <c r="H52" i="2" l="1"/>
  <c r="H63" i="2" l="1"/>
  <c r="G63" i="2"/>
  <c r="Q55" i="2" l="1"/>
  <c r="Q52" i="2" s="1"/>
  <c r="K117" i="2" l="1"/>
  <c r="K116" i="2"/>
  <c r="S98" i="2"/>
  <c r="L98" i="2"/>
  <c r="K98" i="2"/>
  <c r="K95" i="2"/>
  <c r="K82" i="2"/>
  <c r="O91" i="2"/>
  <c r="AA84" i="2"/>
  <c r="N55" i="2"/>
  <c r="N52" i="2" s="1"/>
  <c r="L55" i="2"/>
  <c r="K52" i="2"/>
  <c r="AB84" i="2" l="1"/>
  <c r="Z84" i="2" s="1"/>
  <c r="U84" i="2"/>
  <c r="K81" i="2"/>
  <c r="K119" i="2"/>
  <c r="K83" i="2"/>
  <c r="K13" i="2"/>
  <c r="P21" i="2"/>
  <c r="K21" i="2"/>
  <c r="P18" i="2"/>
  <c r="K18" i="2"/>
  <c r="P26" i="2"/>
  <c r="K26" i="2"/>
  <c r="P31" i="2"/>
  <c r="K31" i="2"/>
  <c r="P36" i="2"/>
  <c r="K36" i="2"/>
  <c r="P41" i="2"/>
  <c r="K41" i="2"/>
  <c r="P44" i="2"/>
  <c r="K44" i="2"/>
  <c r="Z47" i="2"/>
  <c r="P47" i="2"/>
  <c r="K47" i="2"/>
  <c r="L52" i="2"/>
  <c r="K63" i="2"/>
  <c r="K56" i="2"/>
  <c r="K54" i="2" s="1"/>
  <c r="U55" i="2"/>
  <c r="O55" i="2"/>
  <c r="O52" i="2" s="1"/>
  <c r="P55" i="2"/>
  <c r="P52" i="2" s="1"/>
  <c r="S55" i="2"/>
  <c r="Z55" i="2"/>
  <c r="Z52" i="2" s="1"/>
  <c r="AA55" i="2"/>
  <c r="AA52" i="2" s="1"/>
  <c r="AB55" i="2"/>
  <c r="AB52" i="2" s="1"/>
  <c r="AC55" i="2"/>
  <c r="AC52" i="2" s="1"/>
  <c r="AD55" i="2"/>
  <c r="AD52" i="2" s="1"/>
  <c r="AE55" i="2"/>
  <c r="AE52" i="2" s="1"/>
  <c r="AF55" i="2"/>
  <c r="AF52" i="2" s="1"/>
  <c r="AG55" i="2"/>
  <c r="AG52" i="2" s="1"/>
  <c r="AH55" i="2"/>
  <c r="AH52" i="2" s="1"/>
  <c r="AI55" i="2"/>
  <c r="AI52" i="2" s="1"/>
  <c r="P56" i="2"/>
  <c r="P54" i="2" s="1"/>
  <c r="AC63" i="2"/>
  <c r="AD63" i="2"/>
  <c r="AE63" i="2"/>
  <c r="AF63" i="2"/>
  <c r="AG63" i="2"/>
  <c r="AH63" i="2"/>
  <c r="AI63" i="2"/>
  <c r="P63" i="2"/>
  <c r="L63" i="2"/>
  <c r="AI73" i="2"/>
  <c r="AH73" i="2"/>
  <c r="AG73" i="2"/>
  <c r="AE73" i="2"/>
  <c r="AD73" i="2"/>
  <c r="AC73" i="2"/>
  <c r="AB73" i="2"/>
  <c r="AA73" i="2"/>
  <c r="Z73" i="2"/>
  <c r="P73" i="2"/>
  <c r="K73" i="2"/>
  <c r="K79" i="2"/>
  <c r="K11" i="2" s="1"/>
  <c r="U91" i="2"/>
  <c r="AA86" i="2"/>
  <c r="L82" i="2"/>
  <c r="AE81" i="2"/>
  <c r="AE78" i="2" s="1"/>
  <c r="AG81" i="2"/>
  <c r="AG78" i="2" s="1"/>
  <c r="P81" i="2"/>
  <c r="P78" i="2" s="1"/>
  <c r="AC81" i="2"/>
  <c r="AD81" i="2"/>
  <c r="AD78" i="2" s="1"/>
  <c r="AF81" i="2"/>
  <c r="AF78" i="2" s="1"/>
  <c r="AH81" i="2"/>
  <c r="AH78" i="2" s="1"/>
  <c r="AI81" i="2"/>
  <c r="AI78" i="2" s="1"/>
  <c r="N82" i="2"/>
  <c r="N79" i="2" s="1"/>
  <c r="O82" i="2"/>
  <c r="O79" i="2" s="1"/>
  <c r="P82" i="2"/>
  <c r="P79" i="2" s="1"/>
  <c r="Z82" i="2"/>
  <c r="Z79" i="2" s="1"/>
  <c r="AA82" i="2"/>
  <c r="AA79" i="2" s="1"/>
  <c r="AB82" i="2"/>
  <c r="AB79" i="2" s="1"/>
  <c r="AC82" i="2"/>
  <c r="AC79" i="2" s="1"/>
  <c r="AD82" i="2"/>
  <c r="AD79" i="2" s="1"/>
  <c r="AE82" i="2"/>
  <c r="AE79" i="2" s="1"/>
  <c r="AF82" i="2"/>
  <c r="AF79" i="2" s="1"/>
  <c r="AG82" i="2"/>
  <c r="AG79" i="2" s="1"/>
  <c r="AH82" i="2"/>
  <c r="AI82" i="2"/>
  <c r="AI79" i="2" s="1"/>
  <c r="Z91" i="2"/>
  <c r="AA88" i="2"/>
  <c r="AC88" i="2"/>
  <c r="AD88" i="2"/>
  <c r="AE88" i="2"/>
  <c r="AF88" i="2"/>
  <c r="AG88" i="2"/>
  <c r="AH88" i="2"/>
  <c r="AI88" i="2"/>
  <c r="K88" i="2"/>
  <c r="P88" i="2"/>
  <c r="AD83" i="2"/>
  <c r="AC83" i="2"/>
  <c r="AA83" i="2"/>
  <c r="P83" i="2"/>
  <c r="N83" i="2"/>
  <c r="AB88" i="2" l="1"/>
  <c r="K25" i="2"/>
  <c r="AA81" i="2"/>
  <c r="AA78" i="2" s="1"/>
  <c r="AA77" i="2" s="1"/>
  <c r="U86" i="2"/>
  <c r="J81" i="2"/>
  <c r="J83" i="2"/>
  <c r="J119" i="2"/>
  <c r="AH80" i="2"/>
  <c r="AC80" i="2"/>
  <c r="P77" i="2"/>
  <c r="P53" i="2"/>
  <c r="P51" i="2"/>
  <c r="P50" i="2" s="1"/>
  <c r="S91" i="2"/>
  <c r="Q91" i="2" s="1"/>
  <c r="R91" i="2" s="1"/>
  <c r="Z88" i="2"/>
  <c r="AD77" i="2"/>
  <c r="AG77" i="2"/>
  <c r="K51" i="2"/>
  <c r="K50" i="2" s="1"/>
  <c r="K53" i="2"/>
  <c r="L83" i="2"/>
  <c r="AI77" i="2"/>
  <c r="AE77" i="2"/>
  <c r="AD80" i="2"/>
  <c r="P17" i="2"/>
  <c r="AB86" i="2"/>
  <c r="AF77" i="2"/>
  <c r="P80" i="2"/>
  <c r="L79" i="2"/>
  <c r="S52" i="2"/>
  <c r="K17" i="2"/>
  <c r="K80" i="2"/>
  <c r="K78" i="2"/>
  <c r="K77" i="2" s="1"/>
  <c r="AH79" i="2"/>
  <c r="AH77" i="2" s="1"/>
  <c r="AG80" i="2"/>
  <c r="AF80" i="2"/>
  <c r="AI80" i="2"/>
  <c r="AE80" i="2"/>
  <c r="U52" i="2"/>
  <c r="K35" i="2"/>
  <c r="P35" i="2"/>
  <c r="K12" i="2"/>
  <c r="AC78" i="2"/>
  <c r="AC77" i="2" s="1"/>
  <c r="AE83" i="2"/>
  <c r="AF83" i="2"/>
  <c r="AG83" i="2"/>
  <c r="AH83" i="2"/>
  <c r="AI83" i="2"/>
  <c r="L104" i="2"/>
  <c r="L102" i="2"/>
  <c r="AE98" i="2"/>
  <c r="AE95" i="2" s="1"/>
  <c r="AE11" i="2" s="1"/>
  <c r="AF98" i="2"/>
  <c r="AF95" i="2" s="1"/>
  <c r="AF11" i="2" s="1"/>
  <c r="AG98" i="2"/>
  <c r="AG95" i="2" s="1"/>
  <c r="AG11" i="2" s="1"/>
  <c r="AH98" i="2"/>
  <c r="AH95" i="2" s="1"/>
  <c r="AH11" i="2" s="1"/>
  <c r="AI98" i="2"/>
  <c r="AI95" i="2" s="1"/>
  <c r="AI11" i="2" s="1"/>
  <c r="S95" i="2"/>
  <c r="U98" i="2"/>
  <c r="AA98" i="2"/>
  <c r="AA95" i="2" s="1"/>
  <c r="AA11" i="2" s="1"/>
  <c r="AB98" i="2"/>
  <c r="AB95" i="2" s="1"/>
  <c r="AB11" i="2" s="1"/>
  <c r="AC98" i="2"/>
  <c r="AC95" i="2" s="1"/>
  <c r="AC11" i="2" s="1"/>
  <c r="AD98" i="2"/>
  <c r="AD95" i="2" s="1"/>
  <c r="AD11" i="2" s="1"/>
  <c r="Z98" i="2"/>
  <c r="Z95" i="2" s="1"/>
  <c r="Z11" i="2" s="1"/>
  <c r="L95" i="2"/>
  <c r="P98" i="2"/>
  <c r="AA80" i="2" l="1"/>
  <c r="J99" i="2"/>
  <c r="J97" i="2"/>
  <c r="O100" i="2"/>
  <c r="K24" i="2"/>
  <c r="L97" i="2"/>
  <c r="L96" i="2" s="1"/>
  <c r="J80" i="2"/>
  <c r="J78" i="2"/>
  <c r="Z86" i="2"/>
  <c r="AB81" i="2"/>
  <c r="AB83" i="2"/>
  <c r="L11" i="2"/>
  <c r="U95" i="2"/>
  <c r="P95" i="2"/>
  <c r="J96" i="2" l="1"/>
  <c r="J94" i="2"/>
  <c r="J93" i="2" s="1"/>
  <c r="J77" i="2"/>
  <c r="J10" i="2"/>
  <c r="J9" i="2" s="1"/>
  <c r="P11" i="2"/>
  <c r="AB78" i="2"/>
  <c r="AB77" i="2" s="1"/>
  <c r="AB80" i="2"/>
  <c r="Z81" i="2"/>
  <c r="Z83" i="2"/>
  <c r="P117" i="2"/>
  <c r="P113" i="2"/>
  <c r="K113" i="2"/>
  <c r="P109" i="2"/>
  <c r="P107" i="2" s="1"/>
  <c r="K109" i="2"/>
  <c r="K107" i="2"/>
  <c r="P104" i="2"/>
  <c r="P97" i="2" s="1"/>
  <c r="K104" i="2"/>
  <c r="K97" i="2" s="1"/>
  <c r="P99" i="2"/>
  <c r="L99" i="2"/>
  <c r="K99" i="2"/>
  <c r="AA100" i="2"/>
  <c r="U100" i="2" s="1"/>
  <c r="AB100" i="2" l="1"/>
  <c r="AB99" i="2" s="1"/>
  <c r="AB119" i="2"/>
  <c r="AB63" i="2"/>
  <c r="K94" i="2"/>
  <c r="K93" i="2" s="1"/>
  <c r="K96" i="2"/>
  <c r="AA119" i="2"/>
  <c r="AA63" i="2"/>
  <c r="Z78" i="2"/>
  <c r="Z77" i="2" s="1"/>
  <c r="Z80" i="2"/>
  <c r="AA99" i="2"/>
  <c r="P94" i="2"/>
  <c r="P93" i="2" s="1"/>
  <c r="P96" i="2"/>
  <c r="Z100" i="2"/>
  <c r="Y101" i="2"/>
  <c r="Y92" i="2"/>
  <c r="Q92" i="2"/>
  <c r="Y87" i="2"/>
  <c r="S87" i="2"/>
  <c r="Q87" i="2" s="1"/>
  <c r="Y85" i="2"/>
  <c r="Y66" i="2"/>
  <c r="Q82" i="2" l="1"/>
  <c r="Q79" i="2" s="1"/>
  <c r="Q11" i="2" s="1"/>
  <c r="Z99" i="2"/>
  <c r="Z119" i="2"/>
  <c r="Z63" i="2"/>
  <c r="W66" i="2"/>
  <c r="W55" i="2" s="1"/>
  <c r="W52" i="2" s="1"/>
  <c r="Y55" i="2"/>
  <c r="Y52" i="2" s="1"/>
  <c r="W85" i="2"/>
  <c r="X85" i="2"/>
  <c r="Y82" i="2"/>
  <c r="S82" i="2"/>
  <c r="X101" i="2"/>
  <c r="X98" i="2" s="1"/>
  <c r="X95" i="2" s="1"/>
  <c r="W101" i="2"/>
  <c r="W98" i="2" s="1"/>
  <c r="Y98" i="2"/>
  <c r="X87" i="2"/>
  <c r="X92" i="2"/>
  <c r="W87" i="2"/>
  <c r="Y79" i="2" l="1"/>
  <c r="U82" i="2"/>
  <c r="W82" i="2"/>
  <c r="W79" i="2" s="1"/>
  <c r="S79" i="2"/>
  <c r="Y95" i="2"/>
  <c r="W95" i="2"/>
  <c r="X82" i="2"/>
  <c r="X79" i="2" s="1"/>
  <c r="X66" i="2"/>
  <c r="S11" i="2" l="1"/>
  <c r="U79" i="2"/>
  <c r="Y11" i="2"/>
  <c r="W11" i="2"/>
  <c r="X55" i="2"/>
  <c r="U11" i="2" l="1"/>
  <c r="X52" i="2"/>
  <c r="X11" i="2" l="1"/>
  <c r="S15" i="2"/>
  <c r="T15" i="2" s="1"/>
  <c r="R15" i="2" l="1"/>
  <c r="N22" i="2"/>
  <c r="N23" i="2"/>
  <c r="N27" i="2"/>
  <c r="N28" i="2"/>
  <c r="N29" i="2"/>
  <c r="N30" i="2"/>
  <c r="N32" i="2"/>
  <c r="N33" i="2"/>
  <c r="N34" i="2"/>
  <c r="N37" i="2"/>
  <c r="N38" i="2"/>
  <c r="N39" i="2"/>
  <c r="N40" i="2"/>
  <c r="N42" i="2"/>
  <c r="N43" i="2"/>
  <c r="N45" i="2"/>
  <c r="N46" i="2"/>
  <c r="N48" i="2"/>
  <c r="N49" i="2"/>
  <c r="N57" i="2"/>
  <c r="N58" i="2"/>
  <c r="N59" i="2"/>
  <c r="N60" i="2"/>
  <c r="N61" i="2"/>
  <c r="N62" i="2"/>
  <c r="N64" i="2"/>
  <c r="N67" i="2"/>
  <c r="N68" i="2"/>
  <c r="N69" i="2"/>
  <c r="N70" i="2"/>
  <c r="N71" i="2"/>
  <c r="N72" i="2"/>
  <c r="N74" i="2"/>
  <c r="N75" i="2"/>
  <c r="N76" i="2"/>
  <c r="N89" i="2"/>
  <c r="N90" i="2"/>
  <c r="N102" i="2"/>
  <c r="N103" i="2"/>
  <c r="N105" i="2"/>
  <c r="N106" i="2"/>
  <c r="N108" i="2"/>
  <c r="N110" i="2"/>
  <c r="N111" i="2"/>
  <c r="N112" i="2"/>
  <c r="N114" i="2"/>
  <c r="N115" i="2"/>
  <c r="N118" i="2"/>
  <c r="N117" i="2" s="1"/>
  <c r="N19" i="2"/>
  <c r="N20" i="2"/>
  <c r="N16" i="2"/>
  <c r="L16" i="2"/>
  <c r="L23" i="2"/>
  <c r="L37" i="2"/>
  <c r="L39" i="2"/>
  <c r="L42" i="2"/>
  <c r="L43" i="2"/>
  <c r="L45" i="2"/>
  <c r="L44" i="2" s="1"/>
  <c r="L69" i="2"/>
  <c r="L71" i="2"/>
  <c r="L74" i="2"/>
  <c r="L75" i="2"/>
  <c r="L117" i="2"/>
  <c r="N14" i="2"/>
  <c r="O14" i="2" s="1"/>
  <c r="Q13" i="2" l="1"/>
  <c r="R13" i="2" s="1"/>
  <c r="L73" i="2"/>
  <c r="N73" i="2"/>
  <c r="L88" i="2"/>
  <c r="L81" i="2"/>
  <c r="N88" i="2"/>
  <c r="N81" i="2"/>
  <c r="L56" i="2"/>
  <c r="L54" i="2" s="1"/>
  <c r="N113" i="2"/>
  <c r="N97" i="2"/>
  <c r="N104" i="2"/>
  <c r="N109" i="2"/>
  <c r="N56" i="2"/>
  <c r="N47" i="2"/>
  <c r="L47" i="2"/>
  <c r="N44" i="2"/>
  <c r="N31" i="2"/>
  <c r="N26" i="2"/>
  <c r="N119" i="2"/>
  <c r="N54" i="2"/>
  <c r="N63" i="2"/>
  <c r="N18" i="2"/>
  <c r="N41" i="2"/>
  <c r="L41" i="2"/>
  <c r="L36" i="2"/>
  <c r="N13" i="2"/>
  <c r="N21" i="2"/>
  <c r="N36" i="2"/>
  <c r="L21" i="2"/>
  <c r="N98" i="2"/>
  <c r="N99" i="2"/>
  <c r="L109" i="2"/>
  <c r="L113" i="2"/>
  <c r="O16" i="2"/>
  <c r="O22" i="2"/>
  <c r="O19" i="2"/>
  <c r="O118" i="2"/>
  <c r="O117" i="2" s="1"/>
  <c r="O114" i="2"/>
  <c r="O110" i="2"/>
  <c r="O106" i="2"/>
  <c r="O102" i="2"/>
  <c r="O89" i="2"/>
  <c r="O75" i="2"/>
  <c r="O71" i="2"/>
  <c r="O61" i="2"/>
  <c r="O45" i="2"/>
  <c r="O40" i="2"/>
  <c r="O29" i="2"/>
  <c r="O105" i="2"/>
  <c r="O104" i="2" s="1"/>
  <c r="O74" i="2"/>
  <c r="O43" i="2"/>
  <c r="O39" i="2"/>
  <c r="O112" i="2"/>
  <c r="O108" i="2"/>
  <c r="O69" i="2"/>
  <c r="O42" i="2"/>
  <c r="O38" i="2"/>
  <c r="O115" i="2"/>
  <c r="O111" i="2"/>
  <c r="O103" i="2"/>
  <c r="O90" i="2"/>
  <c r="O84" i="2"/>
  <c r="O76" i="2"/>
  <c r="O23" i="2"/>
  <c r="O72" i="2"/>
  <c r="O70" i="2"/>
  <c r="O68" i="2"/>
  <c r="O67" i="2"/>
  <c r="O64" i="2"/>
  <c r="O62" i="2"/>
  <c r="O60" i="2"/>
  <c r="O59" i="2"/>
  <c r="O58" i="2"/>
  <c r="O57" i="2"/>
  <c r="O49" i="2"/>
  <c r="O48" i="2"/>
  <c r="O47" i="2" s="1"/>
  <c r="O46" i="2"/>
  <c r="O37" i="2"/>
  <c r="O34" i="2"/>
  <c r="O33" i="2"/>
  <c r="O32" i="2"/>
  <c r="O30" i="2"/>
  <c r="O28" i="2"/>
  <c r="O27" i="2"/>
  <c r="L13" i="2"/>
  <c r="O88" i="2" l="1"/>
  <c r="O73" i="2"/>
  <c r="O97" i="2"/>
  <c r="M81" i="2"/>
  <c r="L78" i="2"/>
  <c r="L80" i="2"/>
  <c r="O81" i="2"/>
  <c r="O83" i="2"/>
  <c r="N78" i="2"/>
  <c r="N77" i="2" s="1"/>
  <c r="N80" i="2"/>
  <c r="O56" i="2"/>
  <c r="O54" i="2" s="1"/>
  <c r="L53" i="2"/>
  <c r="L51" i="2"/>
  <c r="L50" i="2" s="1"/>
  <c r="O41" i="2"/>
  <c r="O44" i="2"/>
  <c r="O63" i="2"/>
  <c r="N51" i="2"/>
  <c r="N50" i="2" s="1"/>
  <c r="N53" i="2"/>
  <c r="L35" i="2"/>
  <c r="L24" i="2" s="1"/>
  <c r="O36" i="2"/>
  <c r="O21" i="2"/>
  <c r="N35" i="2"/>
  <c r="N17" i="2"/>
  <c r="N12" i="2" s="1"/>
  <c r="O31" i="2"/>
  <c r="O26" i="2"/>
  <c r="O98" i="2"/>
  <c r="O99" i="2"/>
  <c r="N95" i="2"/>
  <c r="N96" i="2"/>
  <c r="O109" i="2"/>
  <c r="O113" i="2"/>
  <c r="O13" i="2"/>
  <c r="Y15" i="2"/>
  <c r="P13" i="2"/>
  <c r="W15" i="2" l="1"/>
  <c r="X15" i="2"/>
  <c r="O78" i="2"/>
  <c r="O77" i="2" s="1"/>
  <c r="O80" i="2"/>
  <c r="N11" i="2"/>
  <c r="O35" i="2"/>
  <c r="M78" i="2"/>
  <c r="L77" i="2"/>
  <c r="O53" i="2"/>
  <c r="O51" i="2"/>
  <c r="O50" i="2" s="1"/>
  <c r="O95" i="2"/>
  <c r="O11" i="2" s="1"/>
  <c r="O96" i="2"/>
  <c r="G99" i="2"/>
  <c r="H121" i="2"/>
  <c r="K121" i="2"/>
  <c r="M48" i="2" l="1"/>
  <c r="S48" i="2"/>
  <c r="Q48" i="2" s="1"/>
  <c r="Y48" i="2"/>
  <c r="M33" i="2"/>
  <c r="S33" i="2"/>
  <c r="Q33" i="2" s="1"/>
  <c r="Y33" i="2"/>
  <c r="M19" i="2"/>
  <c r="S19" i="2"/>
  <c r="Q19" i="2" s="1"/>
  <c r="R19" i="2" s="1"/>
  <c r="Y19" i="2"/>
  <c r="T33" i="2" l="1"/>
  <c r="V33" i="2"/>
  <c r="T19" i="2"/>
  <c r="W48" i="2"/>
  <c r="T48" i="2"/>
  <c r="W33" i="2"/>
  <c r="W19" i="2"/>
  <c r="X48" i="2" l="1"/>
  <c r="X19" i="2"/>
  <c r="V48" i="2"/>
  <c r="V19" i="2"/>
  <c r="X33" i="2"/>
  <c r="M91" i="2"/>
  <c r="Y91" i="2"/>
  <c r="W91" i="2" s="1"/>
  <c r="T91" i="2" l="1"/>
  <c r="V91" i="2"/>
  <c r="X91" i="2" l="1"/>
  <c r="Y111" i="2"/>
  <c r="M108" i="2"/>
  <c r="S108" i="2"/>
  <c r="Q108" i="2" s="1"/>
  <c r="Y108" i="2"/>
  <c r="V108" i="2" l="1"/>
  <c r="T108" i="2"/>
  <c r="W108" i="2"/>
  <c r="S111" i="2"/>
  <c r="Q111" i="2" s="1"/>
  <c r="V111" i="2" l="1"/>
  <c r="T111" i="2"/>
  <c r="X108" i="2"/>
  <c r="X111" i="2" l="1"/>
  <c r="S103" i="2"/>
  <c r="Q103" i="2" s="1"/>
  <c r="T103" i="2" l="1"/>
  <c r="V103" i="2"/>
  <c r="AJ9" i="2" l="1"/>
  <c r="Y45" i="2"/>
  <c r="AA13" i="2"/>
  <c r="AB13" i="2"/>
  <c r="AC13" i="2"/>
  <c r="AD13" i="2"/>
  <c r="AE13" i="2"/>
  <c r="AF13" i="2"/>
  <c r="AG13" i="2"/>
  <c r="AH13" i="2"/>
  <c r="AI13" i="2"/>
  <c r="AA18" i="2"/>
  <c r="AB18" i="2"/>
  <c r="AC18" i="2"/>
  <c r="AD18" i="2"/>
  <c r="AE18" i="2"/>
  <c r="AF18" i="2"/>
  <c r="AG18" i="2"/>
  <c r="AH18" i="2"/>
  <c r="AI18" i="2"/>
  <c r="AA21" i="2"/>
  <c r="AB21" i="2"/>
  <c r="AC21" i="2"/>
  <c r="AD21" i="2"/>
  <c r="AE21" i="2"/>
  <c r="AF21" i="2"/>
  <c r="AG21" i="2"/>
  <c r="AH21" i="2"/>
  <c r="AI21" i="2"/>
  <c r="AA26" i="2"/>
  <c r="AB26" i="2"/>
  <c r="AC26" i="2"/>
  <c r="AD26" i="2"/>
  <c r="AE26" i="2"/>
  <c r="AF26" i="2"/>
  <c r="AG26" i="2"/>
  <c r="AH26" i="2"/>
  <c r="AI26" i="2"/>
  <c r="AA31" i="2"/>
  <c r="AB31" i="2"/>
  <c r="AC31" i="2"/>
  <c r="AD31" i="2"/>
  <c r="AE31" i="2"/>
  <c r="AF31" i="2"/>
  <c r="AG31" i="2"/>
  <c r="AH31" i="2"/>
  <c r="AI31" i="2"/>
  <c r="AA36" i="2"/>
  <c r="AB36" i="2"/>
  <c r="AC36" i="2"/>
  <c r="AD36" i="2"/>
  <c r="AE36" i="2"/>
  <c r="AF36" i="2"/>
  <c r="AG36" i="2"/>
  <c r="AH36" i="2"/>
  <c r="AI36" i="2"/>
  <c r="AA41" i="2"/>
  <c r="AB41" i="2"/>
  <c r="AC41" i="2"/>
  <c r="AD41" i="2"/>
  <c r="AE41" i="2"/>
  <c r="AF41" i="2"/>
  <c r="AG41" i="2"/>
  <c r="AH41" i="2"/>
  <c r="AI41" i="2"/>
  <c r="AA44" i="2"/>
  <c r="AB44" i="2"/>
  <c r="AC44" i="2"/>
  <c r="AD44" i="2"/>
  <c r="AE44" i="2"/>
  <c r="AF44" i="2"/>
  <c r="AG44" i="2"/>
  <c r="AH44" i="2"/>
  <c r="AI44" i="2"/>
  <c r="AA47" i="2"/>
  <c r="AB47" i="2"/>
  <c r="AC47" i="2"/>
  <c r="AD47" i="2"/>
  <c r="AE47" i="2"/>
  <c r="AF47" i="2"/>
  <c r="AG47" i="2"/>
  <c r="AH47" i="2"/>
  <c r="AI47" i="2"/>
  <c r="AA56" i="2"/>
  <c r="AA54" i="2" s="1"/>
  <c r="AB56" i="2"/>
  <c r="AB54" i="2" s="1"/>
  <c r="AC56" i="2"/>
  <c r="AC54" i="2" s="1"/>
  <c r="AD56" i="2"/>
  <c r="AD54" i="2" s="1"/>
  <c r="AE56" i="2"/>
  <c r="AE54" i="2" s="1"/>
  <c r="AF56" i="2"/>
  <c r="AF54" i="2" s="1"/>
  <c r="AG56" i="2"/>
  <c r="AG54" i="2" s="1"/>
  <c r="AH56" i="2"/>
  <c r="AH54" i="2" s="1"/>
  <c r="AI56" i="2"/>
  <c r="AI54" i="2" s="1"/>
  <c r="AF73" i="2"/>
  <c r="AC99" i="2"/>
  <c r="AD99" i="2"/>
  <c r="AE99" i="2"/>
  <c r="AF99" i="2"/>
  <c r="AG99" i="2"/>
  <c r="AH99" i="2"/>
  <c r="AI99" i="2"/>
  <c r="AA104" i="2"/>
  <c r="AA97" i="2" s="1"/>
  <c r="AB104" i="2"/>
  <c r="AB97" i="2" s="1"/>
  <c r="AC104" i="2"/>
  <c r="AC97" i="2" s="1"/>
  <c r="AD104" i="2"/>
  <c r="AD97" i="2" s="1"/>
  <c r="AE104" i="2"/>
  <c r="AE97" i="2" s="1"/>
  <c r="AF104" i="2"/>
  <c r="AF97" i="2" s="1"/>
  <c r="AG104" i="2"/>
  <c r="AG97" i="2" s="1"/>
  <c r="AH104" i="2"/>
  <c r="AH97" i="2" s="1"/>
  <c r="AI104" i="2"/>
  <c r="AI97" i="2" s="1"/>
  <c r="AA109" i="2"/>
  <c r="AA107" i="2" s="1"/>
  <c r="AB109" i="2"/>
  <c r="AB107" i="2" s="1"/>
  <c r="AC109" i="2"/>
  <c r="AC107" i="2" s="1"/>
  <c r="AD109" i="2"/>
  <c r="AE109" i="2"/>
  <c r="AE107" i="2" s="1"/>
  <c r="AF109" i="2"/>
  <c r="AF107" i="2" s="1"/>
  <c r="AG109" i="2"/>
  <c r="AG107" i="2" s="1"/>
  <c r="AH109" i="2"/>
  <c r="AH107" i="2" s="1"/>
  <c r="AI109" i="2"/>
  <c r="AI107" i="2" s="1"/>
  <c r="AA113" i="2"/>
  <c r="AB113" i="2"/>
  <c r="AC113" i="2"/>
  <c r="AD113" i="2"/>
  <c r="AE113" i="2"/>
  <c r="AF113" i="2"/>
  <c r="AG113" i="2"/>
  <c r="AH113" i="2"/>
  <c r="AI113" i="2"/>
  <c r="AA117" i="2"/>
  <c r="AA116" i="2" s="1"/>
  <c r="AB117" i="2"/>
  <c r="AB116" i="2" s="1"/>
  <c r="AC117" i="2"/>
  <c r="AC116" i="2" s="1"/>
  <c r="AD117" i="2"/>
  <c r="AD116" i="2" s="1"/>
  <c r="AE117" i="2"/>
  <c r="AE116" i="2" s="1"/>
  <c r="AF117" i="2"/>
  <c r="AF116" i="2" s="1"/>
  <c r="AG117" i="2"/>
  <c r="AG116" i="2" s="1"/>
  <c r="AH117" i="2"/>
  <c r="AH116" i="2" s="1"/>
  <c r="AI117" i="2"/>
  <c r="AI116" i="2" s="1"/>
  <c r="Z117" i="2"/>
  <c r="Z116" i="2" s="1"/>
  <c r="Z113" i="2"/>
  <c r="Z109" i="2"/>
  <c r="Z107" i="2" s="1"/>
  <c r="Z104" i="2"/>
  <c r="Z97" i="2" s="1"/>
  <c r="Z56" i="2"/>
  <c r="Z54" i="2" s="1"/>
  <c r="Z44" i="2"/>
  <c r="Z41" i="2"/>
  <c r="Z36" i="2"/>
  <c r="Z31" i="2"/>
  <c r="Z26" i="2"/>
  <c r="Z21" i="2"/>
  <c r="Z18" i="2"/>
  <c r="Z17" i="2" s="1"/>
  <c r="Z13" i="2"/>
  <c r="S14" i="2"/>
  <c r="S16" i="2"/>
  <c r="U16" i="2" s="1"/>
  <c r="S20" i="2"/>
  <c r="Q20" i="2" s="1"/>
  <c r="S22" i="2"/>
  <c r="Q22" i="2" s="1"/>
  <c r="Q21" i="2" s="1"/>
  <c r="S23" i="2"/>
  <c r="S27" i="2"/>
  <c r="Q27" i="2" s="1"/>
  <c r="S28" i="2"/>
  <c r="Q28" i="2" s="1"/>
  <c r="S29" i="2"/>
  <c r="Q29" i="2" s="1"/>
  <c r="S30" i="2"/>
  <c r="Q30" i="2" s="1"/>
  <c r="S32" i="2"/>
  <c r="Q32" i="2" s="1"/>
  <c r="S34" i="2"/>
  <c r="Q34" i="2" s="1"/>
  <c r="S37" i="2"/>
  <c r="S38" i="2"/>
  <c r="Q38" i="2" s="1"/>
  <c r="S39" i="2"/>
  <c r="S40" i="2"/>
  <c r="Q40" i="2" s="1"/>
  <c r="S42" i="2"/>
  <c r="S43" i="2"/>
  <c r="S45" i="2"/>
  <c r="S46" i="2"/>
  <c r="Q46" i="2" s="1"/>
  <c r="S49" i="2"/>
  <c r="S57" i="2"/>
  <c r="Q57" i="2" s="1"/>
  <c r="S58" i="2"/>
  <c r="Q58" i="2" s="1"/>
  <c r="R58" i="2" s="1"/>
  <c r="S59" i="2"/>
  <c r="Q59" i="2" s="1"/>
  <c r="S60" i="2"/>
  <c r="Q60" i="2" s="1"/>
  <c r="S61" i="2"/>
  <c r="Q61" i="2" s="1"/>
  <c r="S62" i="2"/>
  <c r="Q62" i="2" s="1"/>
  <c r="S64" i="2"/>
  <c r="S67" i="2"/>
  <c r="Q67" i="2" s="1"/>
  <c r="S68" i="2"/>
  <c r="Q68" i="2" s="1"/>
  <c r="S69" i="2"/>
  <c r="Q69" i="2" s="1"/>
  <c r="S70" i="2"/>
  <c r="Q70" i="2" s="1"/>
  <c r="S71" i="2"/>
  <c r="Q71" i="2" s="1"/>
  <c r="S72" i="2"/>
  <c r="Q72" i="2" s="1"/>
  <c r="S74" i="2"/>
  <c r="S75" i="2"/>
  <c r="S76" i="2"/>
  <c r="Q76" i="2" s="1"/>
  <c r="Q73" i="2" s="1"/>
  <c r="S84" i="2"/>
  <c r="Q84" i="2" s="1"/>
  <c r="S86" i="2"/>
  <c r="Q86" i="2" s="1"/>
  <c r="S89" i="2"/>
  <c r="S90" i="2"/>
  <c r="Q90" i="2" s="1"/>
  <c r="R100" i="2"/>
  <c r="S102" i="2"/>
  <c r="Q102" i="2" s="1"/>
  <c r="S105" i="2"/>
  <c r="Q105" i="2" s="1"/>
  <c r="S106" i="2"/>
  <c r="Q106" i="2" s="1"/>
  <c r="S110" i="2"/>
  <c r="Q110" i="2" s="1"/>
  <c r="S112" i="2"/>
  <c r="Q112" i="2" s="1"/>
  <c r="S114" i="2"/>
  <c r="Q114" i="2" s="1"/>
  <c r="S115" i="2"/>
  <c r="Q115" i="2" s="1"/>
  <c r="R115" i="2" s="1"/>
  <c r="S118" i="2"/>
  <c r="Q118" i="2" s="1"/>
  <c r="M22" i="2"/>
  <c r="M27" i="2"/>
  <c r="M28" i="2"/>
  <c r="M29" i="2"/>
  <c r="M30" i="2"/>
  <c r="M34" i="2"/>
  <c r="M38" i="2"/>
  <c r="M40" i="2"/>
  <c r="M46" i="2"/>
  <c r="M49" i="2"/>
  <c r="M57" i="2"/>
  <c r="M58" i="2"/>
  <c r="M59" i="2"/>
  <c r="M60" i="2"/>
  <c r="M61" i="2"/>
  <c r="M62" i="2"/>
  <c r="M64" i="2"/>
  <c r="M65" i="2"/>
  <c r="M67" i="2"/>
  <c r="M68" i="2"/>
  <c r="M70" i="2"/>
  <c r="M72" i="2"/>
  <c r="M76" i="2"/>
  <c r="M84" i="2"/>
  <c r="M86" i="2"/>
  <c r="M89" i="2"/>
  <c r="M90" i="2"/>
  <c r="M100" i="2"/>
  <c r="M103" i="2"/>
  <c r="M105" i="2"/>
  <c r="M106" i="2"/>
  <c r="M110" i="2"/>
  <c r="M111" i="2"/>
  <c r="M112" i="2"/>
  <c r="M114" i="2"/>
  <c r="M115" i="2"/>
  <c r="M118" i="2"/>
  <c r="Q44" i="2" l="1"/>
  <c r="R44" i="2" s="1"/>
  <c r="R46" i="2"/>
  <c r="Z35" i="2"/>
  <c r="Q113" i="2"/>
  <c r="R113" i="2" s="1"/>
  <c r="Q117" i="2"/>
  <c r="R118" i="2"/>
  <c r="S88" i="2"/>
  <c r="Q89" i="2"/>
  <c r="Q88" i="2" s="1"/>
  <c r="S63" i="2"/>
  <c r="Q64" i="2"/>
  <c r="Q63" i="2" s="1"/>
  <c r="R63" i="2" s="1"/>
  <c r="Q18" i="2"/>
  <c r="AA17" i="2"/>
  <c r="Q56" i="2"/>
  <c r="Q31" i="2"/>
  <c r="Q26" i="2"/>
  <c r="Q25" i="2" s="1"/>
  <c r="Q109" i="2"/>
  <c r="Q107" i="2" s="1"/>
  <c r="Q99" i="2"/>
  <c r="Q81" i="2"/>
  <c r="R81" i="2" s="1"/>
  <c r="Q83" i="2"/>
  <c r="Q36" i="2"/>
  <c r="Q104" i="2"/>
  <c r="Q97" i="2" s="1"/>
  <c r="S47" i="2"/>
  <c r="Q49" i="2"/>
  <c r="Q47" i="2" s="1"/>
  <c r="Q35" i="2" s="1"/>
  <c r="R35" i="2" s="1"/>
  <c r="Z94" i="2"/>
  <c r="Z93" i="2" s="1"/>
  <c r="Z96" i="2"/>
  <c r="AD96" i="2"/>
  <c r="AA51" i="2"/>
  <c r="AA50" i="2" s="1"/>
  <c r="AA53" i="2"/>
  <c r="AC94" i="2"/>
  <c r="AC93" i="2" s="1"/>
  <c r="AC96" i="2"/>
  <c r="AH51" i="2"/>
  <c r="AH50" i="2" s="1"/>
  <c r="AH53" i="2"/>
  <c r="S99" i="2"/>
  <c r="S56" i="2"/>
  <c r="S54" i="2" s="1"/>
  <c r="AF94" i="2"/>
  <c r="AF93" i="2" s="1"/>
  <c r="AF96" i="2"/>
  <c r="AB94" i="2"/>
  <c r="AB93" i="2" s="1"/>
  <c r="AB96" i="2"/>
  <c r="AG53" i="2"/>
  <c r="AG51" i="2"/>
  <c r="AG50" i="2" s="1"/>
  <c r="AC53" i="2"/>
  <c r="AC51" i="2"/>
  <c r="AC50" i="2" s="1"/>
  <c r="AH94" i="2"/>
  <c r="AH93" i="2" s="1"/>
  <c r="AH96" i="2"/>
  <c r="AI51" i="2"/>
  <c r="AI50" i="2" s="1"/>
  <c r="AI53" i="2"/>
  <c r="AE53" i="2"/>
  <c r="AE51" i="2"/>
  <c r="AE50" i="2" s="1"/>
  <c r="S73" i="2"/>
  <c r="AG94" i="2"/>
  <c r="AG93" i="2" s="1"/>
  <c r="AG96" i="2"/>
  <c r="AD51" i="2"/>
  <c r="AD50" i="2" s="1"/>
  <c r="AD53" i="2"/>
  <c r="Z51" i="2"/>
  <c r="Z50" i="2" s="1"/>
  <c r="Z53" i="2"/>
  <c r="AI96" i="2"/>
  <c r="AI94" i="2"/>
  <c r="AI93" i="2" s="1"/>
  <c r="AE96" i="2"/>
  <c r="AE94" i="2"/>
  <c r="AE93" i="2" s="1"/>
  <c r="AA96" i="2"/>
  <c r="AA94" i="2"/>
  <c r="AA93" i="2" s="1"/>
  <c r="AF53" i="2"/>
  <c r="AF51" i="2"/>
  <c r="AF50" i="2" s="1"/>
  <c r="AB53" i="2"/>
  <c r="AB51" i="2"/>
  <c r="AB50" i="2" s="1"/>
  <c r="S44" i="2"/>
  <c r="S121" i="2"/>
  <c r="S119" i="2"/>
  <c r="S31" i="2"/>
  <c r="S26" i="2"/>
  <c r="S41" i="2"/>
  <c r="S36" i="2"/>
  <c r="S35" i="2" s="1"/>
  <c r="S21" i="2"/>
  <c r="AB17" i="2"/>
  <c r="S81" i="2"/>
  <c r="T81" i="2" s="1"/>
  <c r="S83" i="2"/>
  <c r="AC25" i="2"/>
  <c r="AA25" i="2"/>
  <c r="AD25" i="2"/>
  <c r="T106" i="2"/>
  <c r="V106" i="2"/>
  <c r="V76" i="2"/>
  <c r="T76" i="2"/>
  <c r="V67" i="2"/>
  <c r="T67" i="2"/>
  <c r="V30" i="2"/>
  <c r="T30" i="2"/>
  <c r="T105" i="2"/>
  <c r="S104" i="2"/>
  <c r="S97" i="2" s="1"/>
  <c r="T65" i="2"/>
  <c r="V65" i="2"/>
  <c r="T49" i="2"/>
  <c r="U47" i="2"/>
  <c r="T22" i="2"/>
  <c r="T118" i="2"/>
  <c r="S117" i="2"/>
  <c r="S109" i="2"/>
  <c r="T110" i="2"/>
  <c r="T100" i="2"/>
  <c r="T84" i="2"/>
  <c r="T72" i="2"/>
  <c r="V72" i="2"/>
  <c r="T68" i="2"/>
  <c r="V68" i="2"/>
  <c r="T62" i="2"/>
  <c r="V62" i="2"/>
  <c r="T58" i="2"/>
  <c r="V58" i="2"/>
  <c r="T32" i="2"/>
  <c r="T27" i="2"/>
  <c r="V115" i="2"/>
  <c r="T115" i="2"/>
  <c r="V90" i="2"/>
  <c r="T90" i="2"/>
  <c r="T61" i="2"/>
  <c r="V61" i="2"/>
  <c r="T57" i="2"/>
  <c r="V38" i="2"/>
  <c r="T38" i="2"/>
  <c r="S113" i="2"/>
  <c r="T114" i="2"/>
  <c r="T89" i="2"/>
  <c r="U88" i="2"/>
  <c r="T70" i="2"/>
  <c r="V70" i="2"/>
  <c r="T60" i="2"/>
  <c r="V60" i="2"/>
  <c r="T29" i="2"/>
  <c r="V29" i="2"/>
  <c r="S13" i="2"/>
  <c r="U14" i="2"/>
  <c r="T112" i="2"/>
  <c r="V112" i="2"/>
  <c r="T86" i="2"/>
  <c r="V86" i="2"/>
  <c r="U63" i="2"/>
  <c r="T64" i="2"/>
  <c r="T59" i="2"/>
  <c r="V59" i="2"/>
  <c r="T46" i="2"/>
  <c r="V46" i="2"/>
  <c r="T40" i="2"/>
  <c r="V40" i="2"/>
  <c r="T34" i="2"/>
  <c r="V34" i="2"/>
  <c r="T28" i="2"/>
  <c r="V28" i="2"/>
  <c r="T20" i="2"/>
  <c r="U18" i="2"/>
  <c r="S18" i="2"/>
  <c r="AB25" i="2"/>
  <c r="AC35" i="2"/>
  <c r="AB35" i="2"/>
  <c r="AF35" i="2"/>
  <c r="AE25" i="2"/>
  <c r="AG35" i="2"/>
  <c r="AI25" i="2"/>
  <c r="AH25" i="2"/>
  <c r="AF25" i="2"/>
  <c r="AG25" i="2"/>
  <c r="AI17" i="2"/>
  <c r="AI12" i="2" s="1"/>
  <c r="AH17" i="2"/>
  <c r="AH12" i="2" s="1"/>
  <c r="AF17" i="2"/>
  <c r="AF12" i="2" s="1"/>
  <c r="AE17" i="2"/>
  <c r="AE12" i="2" s="1"/>
  <c r="AB12" i="2"/>
  <c r="AD17" i="2"/>
  <c r="AD12" i="2" s="1"/>
  <c r="AA12" i="2"/>
  <c r="AG17" i="2"/>
  <c r="AG12" i="2" s="1"/>
  <c r="AC17" i="2"/>
  <c r="AC12" i="2" s="1"/>
  <c r="AD107" i="2"/>
  <c r="AD94" i="2" s="1"/>
  <c r="AD93" i="2" s="1"/>
  <c r="AH35" i="2"/>
  <c r="AD35" i="2"/>
  <c r="AI35" i="2"/>
  <c r="AA35" i="2"/>
  <c r="AE35" i="2"/>
  <c r="Z25" i="2"/>
  <c r="Q54" i="2" l="1"/>
  <c r="R56" i="2"/>
  <c r="Q17" i="2"/>
  <c r="R18" i="2"/>
  <c r="Q116" i="2"/>
  <c r="R116" i="2" s="1"/>
  <c r="R117" i="2"/>
  <c r="Q94" i="2"/>
  <c r="Q93" i="2" s="1"/>
  <c r="Q96" i="2"/>
  <c r="Q78" i="2"/>
  <c r="Q80" i="2"/>
  <c r="R80" i="2" s="1"/>
  <c r="Q24" i="2"/>
  <c r="R24" i="2" s="1"/>
  <c r="Q119" i="2"/>
  <c r="Q121" i="2"/>
  <c r="Q51" i="2"/>
  <c r="Q50" i="2" s="1"/>
  <c r="Q53" i="2"/>
  <c r="S96" i="2"/>
  <c r="U73" i="2"/>
  <c r="S53" i="2"/>
  <c r="S51" i="2"/>
  <c r="S50" i="2" s="1"/>
  <c r="U56" i="2"/>
  <c r="U54" i="2" s="1"/>
  <c r="S17" i="2"/>
  <c r="S12" i="2" s="1"/>
  <c r="U21" i="2"/>
  <c r="U17" i="2" s="1"/>
  <c r="AC24" i="2"/>
  <c r="AC10" i="2" s="1"/>
  <c r="AC9" i="2" s="1"/>
  <c r="U121" i="2"/>
  <c r="U119" i="2"/>
  <c r="AE24" i="2"/>
  <c r="AE10" i="2" s="1"/>
  <c r="AE9" i="2" s="1"/>
  <c r="U31" i="2"/>
  <c r="U36" i="2"/>
  <c r="S78" i="2"/>
  <c r="S80" i="2"/>
  <c r="U83" i="2"/>
  <c r="U81" i="2"/>
  <c r="V81" i="2" s="1"/>
  <c r="U104" i="2"/>
  <c r="U97" i="2" s="1"/>
  <c r="U99" i="2"/>
  <c r="AD24" i="2"/>
  <c r="AD10" i="2" s="1"/>
  <c r="AD9" i="2" s="1"/>
  <c r="AA24" i="2"/>
  <c r="AA10" i="2" s="1"/>
  <c r="AA9" i="2" s="1"/>
  <c r="AB24" i="2"/>
  <c r="AB10" i="2" s="1"/>
  <c r="U44" i="2"/>
  <c r="V57" i="2"/>
  <c r="S25" i="2"/>
  <c r="S24" i="2" s="1"/>
  <c r="V110" i="2"/>
  <c r="U109" i="2"/>
  <c r="S116" i="2"/>
  <c r="V20" i="2"/>
  <c r="V89" i="2"/>
  <c r="V32" i="2"/>
  <c r="V49" i="2"/>
  <c r="V64" i="2"/>
  <c r="U113" i="2"/>
  <c r="V114" i="2"/>
  <c r="V27" i="2"/>
  <c r="U26" i="2"/>
  <c r="V84" i="2"/>
  <c r="V100" i="2"/>
  <c r="S107" i="2"/>
  <c r="S94" i="2" s="1"/>
  <c r="S93" i="2" s="1"/>
  <c r="U13" i="2"/>
  <c r="V13" i="2" s="1"/>
  <c r="T99" i="2"/>
  <c r="V118" i="2"/>
  <c r="U117" i="2"/>
  <c r="V22" i="2"/>
  <c r="V105" i="2"/>
  <c r="AF24" i="2"/>
  <c r="AF10" i="2" s="1"/>
  <c r="AF9" i="2" s="1"/>
  <c r="AH24" i="2"/>
  <c r="AH10" i="2" s="1"/>
  <c r="AH9" i="2" s="1"/>
  <c r="AI24" i="2"/>
  <c r="AI10" i="2" s="1"/>
  <c r="AI9" i="2" s="1"/>
  <c r="AG24" i="2"/>
  <c r="AG10" i="2" s="1"/>
  <c r="AG9" i="2" s="1"/>
  <c r="Z12" i="2"/>
  <c r="Z24" i="2"/>
  <c r="Q12" i="2" l="1"/>
  <c r="R12" i="2" s="1"/>
  <c r="R17" i="2"/>
  <c r="Q77" i="2"/>
  <c r="R77" i="2" s="1"/>
  <c r="R78" i="2"/>
  <c r="Q10" i="2"/>
  <c r="Q9" i="2" s="1"/>
  <c r="Z10" i="2"/>
  <c r="Z9" i="2" s="1"/>
  <c r="T78" i="2"/>
  <c r="S77" i="2"/>
  <c r="U51" i="2"/>
  <c r="U50" i="2" s="1"/>
  <c r="U53" i="2"/>
  <c r="U35" i="2"/>
  <c r="U80" i="2"/>
  <c r="U78" i="2"/>
  <c r="U96" i="2"/>
  <c r="U25" i="2"/>
  <c r="U107" i="2"/>
  <c r="U94" i="2" s="1"/>
  <c r="U93" i="2" s="1"/>
  <c r="U116" i="2"/>
  <c r="S10" i="2"/>
  <c r="U24" i="2" l="1"/>
  <c r="V78" i="2"/>
  <c r="U77" i="2"/>
  <c r="S9" i="2"/>
  <c r="U12" i="2"/>
  <c r="V12" i="2" s="1"/>
  <c r="P116" i="2"/>
  <c r="N121" i="2"/>
  <c r="P121" i="2"/>
  <c r="U10" i="2" l="1"/>
  <c r="U9" i="2" s="1"/>
  <c r="P12" i="2"/>
  <c r="P25" i="2"/>
  <c r="P24" i="2" l="1"/>
  <c r="P10" i="2" s="1"/>
  <c r="P9" i="2" s="1"/>
  <c r="N25" i="2"/>
  <c r="N24" i="2" s="1"/>
  <c r="H13" i="2"/>
  <c r="H18" i="2"/>
  <c r="V18" i="2" s="1"/>
  <c r="H21" i="2"/>
  <c r="V21" i="2" s="1"/>
  <c r="H26" i="2"/>
  <c r="V26" i="2" s="1"/>
  <c r="H31" i="2"/>
  <c r="V31" i="2" s="1"/>
  <c r="H36" i="2"/>
  <c r="V36" i="2" s="1"/>
  <c r="H41" i="2"/>
  <c r="H44" i="2"/>
  <c r="V44" i="2" s="1"/>
  <c r="H47" i="2"/>
  <c r="V47" i="2" s="1"/>
  <c r="H56" i="2"/>
  <c r="V63" i="2"/>
  <c r="H73" i="2"/>
  <c r="V73" i="2" s="1"/>
  <c r="H83" i="2"/>
  <c r="H88" i="2"/>
  <c r="H99" i="2"/>
  <c r="R99" i="2" s="1"/>
  <c r="H104" i="2"/>
  <c r="H109" i="2"/>
  <c r="H113" i="2"/>
  <c r="V113" i="2" s="1"/>
  <c r="H117" i="2"/>
  <c r="G117" i="2"/>
  <c r="G113" i="2"/>
  <c r="T113" i="2" s="1"/>
  <c r="G109" i="2"/>
  <c r="T109" i="2" s="1"/>
  <c r="G104" i="2"/>
  <c r="G88" i="2"/>
  <c r="T88" i="2" s="1"/>
  <c r="G83" i="2"/>
  <c r="T83" i="2" s="1"/>
  <c r="G73" i="2"/>
  <c r="T73" i="2" s="1"/>
  <c r="G56" i="2"/>
  <c r="G47" i="2"/>
  <c r="T47" i="2" s="1"/>
  <c r="G44" i="2"/>
  <c r="T44" i="2" s="1"/>
  <c r="G41" i="2"/>
  <c r="G36" i="2"/>
  <c r="T36" i="2" s="1"/>
  <c r="G31" i="2"/>
  <c r="T31" i="2" s="1"/>
  <c r="G26" i="2"/>
  <c r="G21" i="2"/>
  <c r="T21" i="2" s="1"/>
  <c r="G18" i="2"/>
  <c r="G13" i="2"/>
  <c r="T13" i="2" s="1"/>
  <c r="V88" i="2" l="1"/>
  <c r="R88" i="2"/>
  <c r="V83" i="2"/>
  <c r="R83" i="2"/>
  <c r="T56" i="2"/>
  <c r="T104" i="2"/>
  <c r="G97" i="2"/>
  <c r="V56" i="2"/>
  <c r="H54" i="2"/>
  <c r="R54" i="2" s="1"/>
  <c r="V104" i="2"/>
  <c r="H97" i="2"/>
  <c r="R97" i="2" s="1"/>
  <c r="G107" i="2"/>
  <c r="T107" i="2" s="1"/>
  <c r="G25" i="2"/>
  <c r="T25" i="2" s="1"/>
  <c r="T26" i="2"/>
  <c r="G116" i="2"/>
  <c r="T116" i="2" s="1"/>
  <c r="T117" i="2"/>
  <c r="M104" i="2"/>
  <c r="M13" i="2"/>
  <c r="T63" i="2"/>
  <c r="H107" i="2"/>
  <c r="V107" i="2" s="1"/>
  <c r="V109" i="2"/>
  <c r="N107" i="2"/>
  <c r="N94" i="2" s="1"/>
  <c r="N93" i="2" s="1"/>
  <c r="M83" i="2"/>
  <c r="M73" i="2"/>
  <c r="H116" i="2"/>
  <c r="V117" i="2"/>
  <c r="V99" i="2"/>
  <c r="H25" i="2"/>
  <c r="V25" i="2" s="1"/>
  <c r="M99" i="2"/>
  <c r="G17" i="2"/>
  <c r="T17" i="2" s="1"/>
  <c r="T18" i="2"/>
  <c r="M88" i="2"/>
  <c r="M21" i="2"/>
  <c r="M63" i="2"/>
  <c r="M56" i="2"/>
  <c r="M47" i="2"/>
  <c r="M44" i="2"/>
  <c r="M36" i="2"/>
  <c r="M31" i="2"/>
  <c r="M26" i="2"/>
  <c r="H17" i="2"/>
  <c r="M113" i="2"/>
  <c r="G77" i="2"/>
  <c r="H53" i="2"/>
  <c r="H35" i="2"/>
  <c r="M117" i="2"/>
  <c r="G35" i="2"/>
  <c r="T35" i="2" s="1"/>
  <c r="Y20" i="2"/>
  <c r="Y18" i="2" s="1"/>
  <c r="Y118" i="2"/>
  <c r="Y117" i="2" s="1"/>
  <c r="Y116" i="2" s="1"/>
  <c r="Y115" i="2"/>
  <c r="Y110" i="2"/>
  <c r="Y106" i="2"/>
  <c r="Y105" i="2"/>
  <c r="Y103" i="2"/>
  <c r="Y102" i="2"/>
  <c r="Y100" i="2"/>
  <c r="Y90" i="2"/>
  <c r="Y86" i="2"/>
  <c r="Y84" i="2"/>
  <c r="Y75" i="2"/>
  <c r="Y74" i="2"/>
  <c r="Y72" i="2"/>
  <c r="Y71" i="2"/>
  <c r="Y70" i="2"/>
  <c r="Y67" i="2"/>
  <c r="Y65" i="2"/>
  <c r="Y62" i="2"/>
  <c r="Y61" i="2"/>
  <c r="Y60" i="2"/>
  <c r="Y57" i="2"/>
  <c r="Y43" i="2"/>
  <c r="Y40" i="2"/>
  <c r="Y39" i="2"/>
  <c r="Y34" i="2"/>
  <c r="Y32" i="2"/>
  <c r="Y30" i="2"/>
  <c r="Y29" i="2"/>
  <c r="Y23" i="2"/>
  <c r="Y22" i="2"/>
  <c r="X22" i="2" s="1"/>
  <c r="Y16" i="2"/>
  <c r="V53" i="2" l="1"/>
  <c r="R53" i="2"/>
  <c r="Y83" i="2"/>
  <c r="W84" i="2"/>
  <c r="V54" i="2"/>
  <c r="H51" i="2"/>
  <c r="R51" i="2" s="1"/>
  <c r="M54" i="2"/>
  <c r="T54" i="2"/>
  <c r="H94" i="2"/>
  <c r="R94" i="2" s="1"/>
  <c r="R96" i="2"/>
  <c r="V97" i="2"/>
  <c r="M97" i="2"/>
  <c r="T97" i="2"/>
  <c r="T96" i="2"/>
  <c r="G94" i="2"/>
  <c r="M109" i="2"/>
  <c r="L107" i="2"/>
  <c r="L94" i="2" s="1"/>
  <c r="L93" i="2" s="1"/>
  <c r="Y99" i="2"/>
  <c r="O107" i="2"/>
  <c r="O94" i="2" s="1"/>
  <c r="O93" i="2" s="1"/>
  <c r="G24" i="2"/>
  <c r="G12" i="2"/>
  <c r="T12" i="2" s="1"/>
  <c r="Y104" i="2"/>
  <c r="Y97" i="2" s="1"/>
  <c r="T53" i="2"/>
  <c r="M80" i="2"/>
  <c r="H24" i="2"/>
  <c r="V35" i="2"/>
  <c r="N116" i="2"/>
  <c r="L116" i="2"/>
  <c r="M116" i="2" s="1"/>
  <c r="V80" i="2"/>
  <c r="T77" i="2"/>
  <c r="T80" i="2"/>
  <c r="H12" i="2"/>
  <c r="V17" i="2"/>
  <c r="AK116" i="2"/>
  <c r="V116" i="2"/>
  <c r="Y21" i="2"/>
  <c r="Y17" i="2" s="1"/>
  <c r="Y31" i="2"/>
  <c r="M53" i="2"/>
  <c r="M35" i="2"/>
  <c r="K10" i="2"/>
  <c r="K9" i="2" s="1"/>
  <c r="M25" i="2"/>
  <c r="Y96" i="2" l="1"/>
  <c r="H10" i="2"/>
  <c r="T93" i="2"/>
  <c r="T94" i="2"/>
  <c r="M96" i="2"/>
  <c r="V96" i="2"/>
  <c r="M94" i="2"/>
  <c r="V94" i="2"/>
  <c r="V51" i="2"/>
  <c r="M51" i="2"/>
  <c r="T51" i="2"/>
  <c r="T50" i="2"/>
  <c r="T24" i="2"/>
  <c r="G10" i="2"/>
  <c r="M107" i="2"/>
  <c r="O116" i="2"/>
  <c r="AK77" i="2"/>
  <c r="V77" i="2"/>
  <c r="M77" i="2"/>
  <c r="AK24" i="2"/>
  <c r="V24" i="2"/>
  <c r="AK12" i="2"/>
  <c r="O25" i="2"/>
  <c r="O24" i="2" s="1"/>
  <c r="W16" i="2"/>
  <c r="W20" i="2"/>
  <c r="W18" i="2" s="1"/>
  <c r="W22" i="2"/>
  <c r="W23" i="2"/>
  <c r="W29" i="2"/>
  <c r="W30" i="2"/>
  <c r="W32" i="2"/>
  <c r="W34" i="2"/>
  <c r="W39" i="2"/>
  <c r="W40" i="2"/>
  <c r="W43" i="2"/>
  <c r="W57" i="2"/>
  <c r="W60" i="2"/>
  <c r="W61" i="2"/>
  <c r="W62" i="2"/>
  <c r="W67" i="2"/>
  <c r="W70" i="2"/>
  <c r="W71" i="2"/>
  <c r="W72" i="2"/>
  <c r="W74" i="2"/>
  <c r="W75" i="2"/>
  <c r="W86" i="2"/>
  <c r="W90" i="2"/>
  <c r="W100" i="2"/>
  <c r="W102" i="2"/>
  <c r="W103" i="2"/>
  <c r="W105" i="2"/>
  <c r="W106" i="2"/>
  <c r="W110" i="2"/>
  <c r="W118" i="2"/>
  <c r="W117" i="2" s="1"/>
  <c r="W116" i="2" s="1"/>
  <c r="V93" i="2" l="1"/>
  <c r="R93" i="2"/>
  <c r="M50" i="2"/>
  <c r="R50" i="2"/>
  <c r="R10" i="2"/>
  <c r="V10" i="2"/>
  <c r="W104" i="2"/>
  <c r="N10" i="2"/>
  <c r="N9" i="2" s="1"/>
  <c r="W97" i="2"/>
  <c r="W99" i="2"/>
  <c r="AK93" i="2"/>
  <c r="M93" i="2"/>
  <c r="V50" i="2"/>
  <c r="AK50" i="2"/>
  <c r="W31" i="2"/>
  <c r="M24" i="2"/>
  <c r="T9" i="2"/>
  <c r="T10" i="2"/>
  <c r="W83" i="2"/>
  <c r="W21" i="2"/>
  <c r="W17" i="2" s="1"/>
  <c r="Y27" i="2"/>
  <c r="Y59" i="2"/>
  <c r="W59" i="2" s="1"/>
  <c r="Y38" i="2"/>
  <c r="Y76" i="2"/>
  <c r="Y73" i="2" s="1"/>
  <c r="Y42" i="2"/>
  <c r="Y41" i="2" s="1"/>
  <c r="Y58" i="2"/>
  <c r="Y64" i="2"/>
  <c r="Y63" i="2" s="1"/>
  <c r="Y28" i="2"/>
  <c r="Y46" i="2"/>
  <c r="Y44" i="2" s="1"/>
  <c r="Y89" i="2"/>
  <c r="Y112" i="2"/>
  <c r="Y109" i="2" s="1"/>
  <c r="Y107" i="2" s="1"/>
  <c r="Y49" i="2"/>
  <c r="Y47" i="2" s="1"/>
  <c r="Y69" i="2"/>
  <c r="Y114" i="2"/>
  <c r="Y113" i="2" s="1"/>
  <c r="X23" i="2"/>
  <c r="X39" i="2"/>
  <c r="X43" i="2"/>
  <c r="X72" i="2"/>
  <c r="X84" i="2"/>
  <c r="X90" i="2"/>
  <c r="V9" i="2" l="1"/>
  <c r="R9" i="2"/>
  <c r="Y88" i="2"/>
  <c r="Y81" i="2"/>
  <c r="W96" i="2"/>
  <c r="Y94" i="2"/>
  <c r="Y93" i="2" s="1"/>
  <c r="Y121" i="2"/>
  <c r="Y56" i="2"/>
  <c r="Y26" i="2"/>
  <c r="Y25" i="2" s="1"/>
  <c r="X59" i="2"/>
  <c r="W27" i="2"/>
  <c r="W28" i="2"/>
  <c r="W64" i="2"/>
  <c r="W63" i="2" s="1"/>
  <c r="Y68" i="2"/>
  <c r="Y119" i="2" s="1"/>
  <c r="X27" i="2"/>
  <c r="Y37" i="2"/>
  <c r="Y36" i="2" s="1"/>
  <c r="Y35" i="2" s="1"/>
  <c r="W46" i="2"/>
  <c r="W89" i="2"/>
  <c r="W76" i="2"/>
  <c r="W73" i="2" s="1"/>
  <c r="W38" i="2"/>
  <c r="W112" i="2"/>
  <c r="W69" i="2"/>
  <c r="X69" i="2"/>
  <c r="W114" i="2"/>
  <c r="W113" i="2" s="1"/>
  <c r="W49" i="2"/>
  <c r="W47" i="2" s="1"/>
  <c r="X112" i="2"/>
  <c r="W42" i="2"/>
  <c r="W41" i="2" s="1"/>
  <c r="X89" i="2"/>
  <c r="X88" i="2" s="1"/>
  <c r="X42" i="2"/>
  <c r="X41" i="2" s="1"/>
  <c r="X38" i="2"/>
  <c r="Y14" i="2"/>
  <c r="Y13" i="2" s="1"/>
  <c r="Y12" i="2" s="1"/>
  <c r="X115" i="2"/>
  <c r="X103" i="2"/>
  <c r="X75" i="2"/>
  <c r="X71" i="2"/>
  <c r="X67" i="2"/>
  <c r="X62" i="2"/>
  <c r="X34" i="2"/>
  <c r="X30" i="2"/>
  <c r="X21" i="2"/>
  <c r="X118" i="2"/>
  <c r="X117" i="2" s="1"/>
  <c r="X116" i="2" s="1"/>
  <c r="X114" i="2"/>
  <c r="X110" i="2"/>
  <c r="X106" i="2"/>
  <c r="X102" i="2"/>
  <c r="X74" i="2"/>
  <c r="X70" i="2"/>
  <c r="X61" i="2"/>
  <c r="X57" i="2"/>
  <c r="X49" i="2"/>
  <c r="X47" i="2" s="1"/>
  <c r="X29" i="2"/>
  <c r="X105" i="2"/>
  <c r="X100" i="2"/>
  <c r="X86" i="2"/>
  <c r="X83" i="2" s="1"/>
  <c r="X60" i="2"/>
  <c r="X40" i="2"/>
  <c r="X32" i="2"/>
  <c r="X28" i="2"/>
  <c r="X20" i="2"/>
  <c r="X18" i="2" s="1"/>
  <c r="X16" i="2"/>
  <c r="X46" i="2"/>
  <c r="X17" i="2" l="1"/>
  <c r="Y54" i="2"/>
  <c r="Y78" i="2"/>
  <c r="Y77" i="2" s="1"/>
  <c r="Y80" i="2"/>
  <c r="X81" i="2"/>
  <c r="X80" i="2" s="1"/>
  <c r="W88" i="2"/>
  <c r="W81" i="2"/>
  <c r="W121" i="2"/>
  <c r="X99" i="2"/>
  <c r="X104" i="2"/>
  <c r="X97" i="2" s="1"/>
  <c r="X109" i="2"/>
  <c r="X107" i="2" s="1"/>
  <c r="X113" i="2"/>
  <c r="X31" i="2"/>
  <c r="Y24" i="2"/>
  <c r="X26" i="2"/>
  <c r="W26" i="2"/>
  <c r="W25" i="2" s="1"/>
  <c r="W37" i="2"/>
  <c r="W36" i="2" s="1"/>
  <c r="W68" i="2"/>
  <c r="X37" i="2"/>
  <c r="X36" i="2" s="1"/>
  <c r="X58" i="2"/>
  <c r="X56" i="2" s="1"/>
  <c r="W14" i="2"/>
  <c r="W13" i="2" s="1"/>
  <c r="W12" i="2" s="1"/>
  <c r="W58" i="2"/>
  <c r="W56" i="2" s="1"/>
  <c r="W54" i="2" s="1"/>
  <c r="X64" i="2"/>
  <c r="X63" i="2" s="1"/>
  <c r="W111" i="2"/>
  <c r="W109" i="2" s="1"/>
  <c r="W107" i="2" s="1"/>
  <c r="W94" i="2" s="1"/>
  <c r="W93" i="2" s="1"/>
  <c r="X68" i="2"/>
  <c r="X45" i="2"/>
  <c r="X44" i="2" s="1"/>
  <c r="X76" i="2"/>
  <c r="X73" i="2" s="1"/>
  <c r="W45" i="2"/>
  <c r="W44" i="2" s="1"/>
  <c r="X14" i="2"/>
  <c r="W35" i="2" l="1"/>
  <c r="X121" i="2"/>
  <c r="W24" i="2"/>
  <c r="W119" i="2"/>
  <c r="X78" i="2"/>
  <c r="X77" i="2" s="1"/>
  <c r="W80" i="2"/>
  <c r="W78" i="2"/>
  <c r="W77" i="2" s="1"/>
  <c r="X54" i="2"/>
  <c r="X119" i="2"/>
  <c r="Y53" i="2"/>
  <c r="Y51" i="2"/>
  <c r="Y50" i="2" s="1"/>
  <c r="W53" i="2"/>
  <c r="W51" i="2"/>
  <c r="W50" i="2" s="1"/>
  <c r="X35" i="2"/>
  <c r="X94" i="2"/>
  <c r="X93" i="2" s="1"/>
  <c r="X96" i="2"/>
  <c r="X25" i="2"/>
  <c r="X13" i="2"/>
  <c r="X12" i="2" s="1"/>
  <c r="X24" i="2" l="1"/>
  <c r="W10" i="2"/>
  <c r="W9" i="2" s="1"/>
  <c r="X51" i="2"/>
  <c r="X50" i="2" s="1"/>
  <c r="X53" i="2"/>
  <c r="Y10" i="2"/>
  <c r="Y9" i="2" s="1"/>
  <c r="B8" i="3"/>
  <c r="C8" i="3"/>
  <c r="D8" i="3"/>
  <c r="C7" i="3"/>
  <c r="D7" i="3"/>
  <c r="B7" i="3"/>
  <c r="B3" i="3"/>
  <c r="C3" i="3"/>
  <c r="D3" i="3"/>
  <c r="B4" i="3"/>
  <c r="C4" i="3"/>
  <c r="D4" i="3"/>
  <c r="B5" i="3"/>
  <c r="C5" i="3"/>
  <c r="D5" i="3"/>
  <c r="C2" i="3"/>
  <c r="D2" i="3"/>
  <c r="B2" i="3"/>
  <c r="X10" i="2" l="1"/>
  <c r="X9" i="2" s="1"/>
  <c r="M20" i="2"/>
  <c r="L121" i="2"/>
  <c r="L18" i="2"/>
  <c r="L17" i="2" s="1"/>
  <c r="L12" i="2" s="1"/>
  <c r="O20" i="2"/>
  <c r="O119" i="2" s="1"/>
  <c r="L119" i="2"/>
  <c r="M18" i="2" l="1"/>
  <c r="O18" i="2"/>
  <c r="O17" i="2" s="1"/>
  <c r="O12" i="2" s="1"/>
  <c r="O10" i="2" s="1"/>
  <c r="O9" i="2" s="1"/>
  <c r="O121" i="2"/>
  <c r="M17" i="2"/>
  <c r="M12" i="2" l="1"/>
  <c r="L10" i="2"/>
  <c r="L9" i="2" l="1"/>
  <c r="M9" i="2" s="1"/>
  <c r="M10" i="2"/>
</calcChain>
</file>

<file path=xl/sharedStrings.xml><?xml version="1.0" encoding="utf-8"?>
<sst xmlns="http://schemas.openxmlformats.org/spreadsheetml/2006/main" count="661" uniqueCount="319">
  <si>
    <t>-</t>
  </si>
  <si>
    <t>3.1.</t>
  </si>
  <si>
    <t>3.2.</t>
  </si>
  <si>
    <t>3.3.</t>
  </si>
  <si>
    <t>3.5.2.1.</t>
  </si>
  <si>
    <t>Prioritātes/Pasākuma/Aktivitātes numurs / Priority/Measure/Activity No.</t>
  </si>
  <si>
    <t>Prioritātes/Pasākuma/ Aktivitātes nosaukums / Priority/Measure/Activity</t>
  </si>
  <si>
    <t>Fonds / Fund</t>
  </si>
  <si>
    <t>IZM / MoES</t>
  </si>
  <si>
    <t>LM / MoW</t>
  </si>
  <si>
    <t>EM / MoE</t>
  </si>
  <si>
    <t>VeM / MoH</t>
  </si>
  <si>
    <t>MoES - Ministry of Education and Science</t>
  </si>
  <si>
    <t>MoE - Ministry of Economics</t>
  </si>
  <si>
    <t>MoW - Ministry of Wealfare</t>
  </si>
  <si>
    <t>MoH - Ministry of Health</t>
  </si>
  <si>
    <t>MoF - Ministry of Finances</t>
  </si>
  <si>
    <t>3.5.2.2.</t>
  </si>
  <si>
    <t>3.4.4.1.</t>
  </si>
  <si>
    <t>VARAM/ MoEPRD</t>
  </si>
  <si>
    <t>3.4.2.1.1.</t>
  </si>
  <si>
    <t xml:space="preserve">MoEPRD - Ministry of Environment Protection and Regional Development </t>
  </si>
  <si>
    <t xml:space="preserve">Sasaiste ar BJS prioritāti (NR.)/ BST ptiority No. </t>
  </si>
  <si>
    <t>3.4.2.1.2.</t>
  </si>
  <si>
    <t>3.4.4.2.</t>
  </si>
  <si>
    <t>ES fondu</t>
  </si>
  <si>
    <t>Publiskais</t>
  </si>
  <si>
    <t>Nac</t>
  </si>
  <si>
    <t>Kopā ar Baltijas Jūras stratēģiju sasaistītajās aktivitātēs</t>
  </si>
  <si>
    <t>ES 2020 stratēģijas mērķu Nr./ Target No of ES 2020 strategy</t>
  </si>
  <si>
    <t>Kopā aktivitātēs, kas saistītas ar ES 2020 stratēģijas ieviešanu</t>
  </si>
  <si>
    <t>4.1.</t>
  </si>
  <si>
    <t>1</t>
  </si>
  <si>
    <t>5</t>
  </si>
  <si>
    <t>Baltijas Jūras stratēģijas virzieni</t>
  </si>
  <si>
    <t>Līdz pieņemamam līmenim samazināt barības vielu ieplūdi jūrā</t>
  </si>
  <si>
    <t xml:space="preserve">Saglabāt dabīgās zonas un bioloģisko daudzveidību, tostarp zivsaimniecību </t>
  </si>
  <si>
    <t xml:space="preserve">Samazināt bīstamo vielu izmantošanu un ietekmi </t>
  </si>
  <si>
    <t xml:space="preserve">Kļūt par tīras kuģošanas paraugreģionu </t>
  </si>
  <si>
    <t>Samazināt klimata pārmaiņas un pielāgoties tām</t>
  </si>
  <si>
    <t>Likvidēt šķēršļus iekšējam tirgum Baltijas jūras reģionā, tostarp uzlabot sadarbību muitas un nodokļu jomā</t>
  </si>
  <si>
    <t>Izmantot visu reģiona potenciālu pētniecības un jaunrades jomā</t>
  </si>
  <si>
    <t>Īstenot Mazās uzņēmējdarbības aktu – veicināt uzņēmējdarbību, stiprināt MVU un palielināt cilvēkresursu efektīvu izmantošanu</t>
  </si>
  <si>
    <t>Nostiprināt lauksaimniecības, mežsaimniecības un zivsaimniecības ilgtspēju</t>
  </si>
  <si>
    <t>Uzlabot enerģētikas tirgu pieejamību, efektivitāti un drošību</t>
  </si>
  <si>
    <t>Uzlabot iekšējos un ārējos transporta savienojumus</t>
  </si>
  <si>
    <t>Saglabāt un vairot Baltijas jūras reģiona pievilcību, jo īpaši, izmantojot izglītības un jaunatnes, tūrisma, kultūras un veselības jomu</t>
  </si>
  <si>
    <t>Kļūt par vadošo reģionu jūras drošības un aizsardzības jomā</t>
  </si>
  <si>
    <t xml:space="preserve">Nostiprināt reaģēšanas spēju jūras negadījumu laikā, lai pasargātu no lielām avārijām </t>
  </si>
  <si>
    <t>Samazināt pārrobežu noziedzības apjomu un nodarīto kaitējumu</t>
  </si>
  <si>
    <t>ES2020 stratēģijas mērķi:</t>
  </si>
  <si>
    <r>
      <t xml:space="preserve">Izglītība: </t>
    </r>
    <r>
      <rPr>
        <sz val="9"/>
        <color theme="1"/>
        <rFont val="Arial"/>
        <family val="2"/>
        <charset val="186"/>
      </rPr>
      <t/>
    </r>
  </si>
  <si>
    <t>4.2.</t>
  </si>
  <si>
    <r>
      <t>Nodarbinātība</t>
    </r>
    <r>
      <rPr>
        <sz val="12"/>
        <color theme="1"/>
        <rFont val="Times New Roman"/>
        <family val="1"/>
        <charset val="186"/>
      </rPr>
      <t xml:space="preserve"> - jānodarbina 75 % cilvēku vecumā no 20 līdz 64 gadiem (</t>
    </r>
    <r>
      <rPr>
        <sz val="12"/>
        <color rgb="FFFF0000"/>
        <rFont val="Times New Roman"/>
        <family val="1"/>
        <charset val="186"/>
      </rPr>
      <t>LV nacionālais mēŗkis 73%</t>
    </r>
    <r>
      <rPr>
        <sz val="12"/>
        <color theme="1"/>
        <rFont val="Times New Roman"/>
        <family val="1"/>
        <charset val="186"/>
      </rPr>
      <t>)</t>
    </r>
  </si>
  <si>
    <r>
      <t>Klimata pārmaiņas un enerģētika:</t>
    </r>
    <r>
      <rPr>
        <sz val="12"/>
        <color theme="1"/>
        <rFont val="Times New Roman"/>
        <family val="1"/>
        <charset val="186"/>
      </rPr>
      <t xml:space="preserve"> </t>
    </r>
  </si>
  <si>
    <r>
      <t>siltumnīcefekta gāzu emisija jāsamazina par 20 % (vai pat 30 %, ja pastāvētu attiecīgi nosacījumi) salīdzinājumā ar 1990. Gadu (</t>
    </r>
    <r>
      <rPr>
        <sz val="12"/>
        <color rgb="FFFF0000"/>
        <rFont val="Times New Roman"/>
        <family val="1"/>
        <charset val="186"/>
      </rPr>
      <t>LV nacionālais mērķis 17%</t>
    </r>
    <r>
      <rPr>
        <sz val="12"/>
        <color theme="1"/>
        <rFont val="Times New Roman"/>
        <family val="1"/>
        <charset val="186"/>
      </rPr>
      <t>)</t>
    </r>
  </si>
  <si>
    <r>
      <t xml:space="preserve">skolu nebeigušo jauniešu īpatsvars jāsamazina zem 10 % robežas </t>
    </r>
    <r>
      <rPr>
        <sz val="12"/>
        <color rgb="FFFF0000"/>
        <rFont val="Times New Roman"/>
        <family val="1"/>
        <charset val="186"/>
      </rPr>
      <t>(LV nacionālais mērķis 13.4%</t>
    </r>
    <r>
      <rPr>
        <sz val="12"/>
        <color theme="1"/>
        <rFont val="Times New Roman"/>
        <family val="1"/>
        <charset val="186"/>
      </rPr>
      <t xml:space="preserve">); </t>
    </r>
  </si>
  <si>
    <r>
      <t>vismaz 40 % cilvēku vecumā no 30 līdz 34 gadiem jāiegūst augstākā izglītība (</t>
    </r>
    <r>
      <rPr>
        <sz val="12"/>
        <color rgb="FFFF0000"/>
        <rFont val="Times New Roman"/>
        <family val="1"/>
        <charset val="186"/>
      </rPr>
      <t>LV nacionālais mērķis 34-36%</t>
    </r>
    <r>
      <rPr>
        <sz val="12"/>
        <color theme="1"/>
        <rFont val="Times New Roman"/>
        <family val="1"/>
        <charset val="186"/>
      </rPr>
      <t>).</t>
    </r>
  </si>
  <si>
    <t>ES fonda finansējums/EU funding</t>
  </si>
  <si>
    <t>EUR</t>
  </si>
  <si>
    <t xml:space="preserve">Kop. attiec. izmaksas/ (Total eligible costs) </t>
  </si>
  <si>
    <t>Izpilde /Implementation rate,%</t>
  </si>
  <si>
    <t>ES fonda finansējums/EU funding, EUR</t>
  </si>
  <si>
    <t xml:space="preserve">Apstiprinātie izdevumi/Certified eligible expenditure paid by beneficiaries, EUR ECB/LB </t>
  </si>
  <si>
    <t>Atgūtie izdevumi/Recovered amounts, EUR, ECB/LB</t>
  </si>
  <si>
    <t>Prioritātes likme</t>
  </si>
  <si>
    <t>a</t>
  </si>
  <si>
    <t>b</t>
  </si>
  <si>
    <t>f</t>
  </si>
  <si>
    <t>g</t>
  </si>
  <si>
    <t>h</t>
  </si>
  <si>
    <t>c</t>
  </si>
  <si>
    <t>d</t>
  </si>
  <si>
    <t>e</t>
  </si>
  <si>
    <t>j</t>
  </si>
  <si>
    <t>k</t>
  </si>
  <si>
    <t xml:space="preserve">Finansējums atbilstoši DP/Financing according to OP,EUR  </t>
  </si>
  <si>
    <t xml:space="preserve">ES fonda finansējums/EU funding </t>
  </si>
  <si>
    <t>Publiskais finansējums/Public financing</t>
  </si>
  <si>
    <t>Nacionālais publiskais finansējums/National public financing</t>
  </si>
  <si>
    <t>Privātais finansējums/Private financing</t>
  </si>
  <si>
    <t>Kop. attiec. izmaksas/Total eligible costs</t>
  </si>
  <si>
    <t>Privātais finansējums,EUR/Private financing</t>
  </si>
  <si>
    <r>
      <t>Finansējuma saņemēju iesniegtie maksājuma pieprasījumi/Expenditure paid out by the beneficiaries included in payment claims,EUR (LB kurss)</t>
    </r>
    <r>
      <rPr>
        <b/>
        <vertAlign val="superscript"/>
        <sz val="13"/>
        <rFont val="Times New Roman"/>
        <family val="1"/>
        <charset val="186"/>
      </rPr>
      <t>2</t>
    </r>
    <r>
      <rPr>
        <b/>
        <sz val="13"/>
        <rFont val="Times New Roman"/>
        <family val="1"/>
        <charset val="186"/>
      </rPr>
      <t xml:space="preserve"> </t>
    </r>
  </si>
  <si>
    <r>
      <rPr>
        <i/>
        <vertAlign val="superscript"/>
        <sz val="13"/>
        <rFont val="Times New Roman"/>
        <family val="1"/>
        <charset val="186"/>
      </rPr>
      <t xml:space="preserve">2 </t>
    </r>
    <r>
      <rPr>
        <i/>
        <sz val="13"/>
        <rFont val="Times New Roman"/>
        <family val="1"/>
        <charset val="204"/>
      </rPr>
      <t>Finansējuma saņemēju iesniegtie maksājuma pieprasījumi līdz 31.12.2013. ir izteikti euro pēc Latvijas bankas (LB) fiksēta kursa 1 EUR = 0,702804 LVL</t>
    </r>
  </si>
  <si>
    <t>1.</t>
  </si>
  <si>
    <t xml:space="preserve">I darbības programma  "Cilvēkreursi un nodarbinātība" / I Operational programme  "Human resources and employment" </t>
  </si>
  <si>
    <t>1.1.</t>
  </si>
  <si>
    <t>Prioritāte "Augstākā izglītība un zinātne" / Priority "Higher Education and Science"</t>
  </si>
  <si>
    <t>ESF</t>
  </si>
  <si>
    <t>1.1.1.</t>
  </si>
  <si>
    <t>Pasākums "Zinātnes un pētniecības potenciāla attīstība" / Measure "Development of Scientific and Research Potential"</t>
  </si>
  <si>
    <t>1.1.1.1.</t>
  </si>
  <si>
    <t>Aktivitāte "Zinātnes un inovāciju politikas veidošanas un administratīvās kapacitātes stiprināšana" / Activity "Strengthening of Research and Innovation Policy Development and Administrative Capacity"</t>
  </si>
  <si>
    <t>Aktivitāte "Cilvēkresursu piesaiste zinātnei" / Activity "Attraction of Human Resources to Science"</t>
  </si>
  <si>
    <t>1; 2</t>
  </si>
  <si>
    <t>1.1.1.3.</t>
  </si>
  <si>
    <t>Aktivitāte "Motivācijas veicināšana zinātniskajai darbībai"/ Activity "Reinforcing Motivation for Scientific Activities"</t>
  </si>
  <si>
    <t>1.1.2.</t>
  </si>
  <si>
    <t>Pasākums "Augstākās izglītības attīstība"/ Measure "Development of Tertiary (Higher) Education"</t>
  </si>
  <si>
    <t>1.1.2.1.</t>
  </si>
  <si>
    <t>Aktivitāte "Atbalsts doktora un maģistra studiju īstenošanai" / Activity "Support to Doctor’s and Master’s study programmes"</t>
  </si>
  <si>
    <t>Apakšaktivitāte "Atbalsts maģistra studiju programmu īstenošanai" / Sub-activity "Support to master’s studies"</t>
  </si>
  <si>
    <t xml:space="preserve">1.1.2.1.2. </t>
  </si>
  <si>
    <t>Apakšaktivitāte "Atbalsts doktora studiju programmu īstenošanai" / Sub-activity "Support to doctor’s studies"</t>
  </si>
  <si>
    <t>1.1.2.2.</t>
  </si>
  <si>
    <t>Aktivitāte "Atbalsts augstākās izglītības studiju uzlabošanai"/ Activity "Support to improvement of tertiary education studies"</t>
  </si>
  <si>
    <t>1.1.2.2.1.</t>
  </si>
  <si>
    <t xml:space="preserve">Apakšaktivitāte "Studiju programmu satura un īstenošanas uzlabošana un akadēmiskā personāla kompetences pilnveidošana"/Sub-activity "Improvement of Study Programme Contents, Its Implementation and Competence of Academic Personnel" </t>
  </si>
  <si>
    <t>1.1.2.2.2.</t>
  </si>
  <si>
    <t> Apakšaktivitāte "Boloņas procesa principu ieviešana augstākajā izglītībā" / Sub-activity "Implementation of Bologna Process Principles in Tertiary Education"</t>
  </si>
  <si>
    <t>1.2.</t>
  </si>
  <si>
    <t>Prioritāte "Izglītība un prasmes" / Priority "Education and Skills"</t>
  </si>
  <si>
    <t>1.2.1.</t>
  </si>
  <si>
    <t xml:space="preserve">Pasākums "Profesionālās izglītības un vispārējo prasmju attīstība"/ Measure "Development of Vocational Education and General Skills" </t>
  </si>
  <si>
    <t>1.2.1.1.</t>
  </si>
  <si>
    <t xml:space="preserve">Aktivitāte "Profesionālās izglītības sistēmas attīstība, kvalitātes, atbilstības un pievilcības uzlabošana"/ Activity "Development of vocational educational system, improvement of quality, conformity and attraction" </t>
  </si>
  <si>
    <t>1.2.1.1.1.</t>
  </si>
  <si>
    <t xml:space="preserve">Apakšaktivitāte "Nozaru kvalifikāciju sistēmas izveide un profesionālās izglītības pārstrukturizācija"/ Sub-activity "Improvement of National Qualification System, Vocational Education Contents and Cooperation among the Bodies Involved in Vocational Education" </t>
  </si>
  <si>
    <t>1; 4.1.</t>
  </si>
  <si>
    <t>1.2.1.1.2.</t>
  </si>
  <si>
    <t>Apakšaktivitāte "Profesionālajā izglītībā iesaistīto pedagogu kompetences paaugstināšana"/ Sub-activity "Competence Promotion of the Educators Involved in Vocational Education"</t>
  </si>
  <si>
    <t xml:space="preserve">Apakšaktivitāte "Atbalsts sākotnējās profesionālās izglītības programmu īstenošanas kvalitātes uzlabošanai un īstenošanai"/ Sub-activity "Support to improvement and Implementation of Primary Vocational Education Programme Quality" </t>
  </si>
  <si>
    <t>Apakšaktivitāte "Sākotnējās profesionālās izglītības pievilcības veicināšana" / Sub-activity "Promotion of Primary Vocational Education Attraction"</t>
  </si>
  <si>
    <t>1.2.1.2.</t>
  </si>
  <si>
    <t>Aktivitāte "Vispārējo zināšanu un prasmju uzlabošana" / Activity "Improvement of general knowledge and skills"</t>
  </si>
  <si>
    <t>1.2.1.2.1.</t>
  </si>
  <si>
    <t>Apakšaktivitāte "Vispārējās vidējās izglītības satura reforma, mācību priekšmetu, metodikas un mācību sasniegumu vērtēšanas sistēmas uzlabošana" / Sub-activity "Reform of General Secondary Education Contents, Improvement of Study Subjects, Methodology and Evaluation System"</t>
  </si>
  <si>
    <t>1.2.1.2.2.</t>
  </si>
  <si>
    <t>Apakšaktivitāte "Atbalsts vispārējās izglītības pedagogu nodrošināšanai prioritārajos mācību priekšmetos" / Sub-activity "Support to Ensure Sufficiency of General Secondary Education Educators in Priority Subjects"</t>
  </si>
  <si>
    <t>1.2.1.2.3.</t>
  </si>
  <si>
    <t>Apakšaktivitāte "Vispārējās izglītības pedagogu kompetences paaugstināšana un prasmju atjaunošana" / Sub-activity "Competence Promotion of General Educators and Renewal of Skills"</t>
  </si>
  <si>
    <t>1.2.2.</t>
  </si>
  <si>
    <t>Pasākums "Mūžizglītības attīstība un izglītībā un mūžizglītībā iesaistīto institūciju rīcībspējas un sadarbības uzlabošana" / Measure "Development of Lifelong Learning and Cooperation and Capacity Strengthening of Institutions responsible for Education and Lifelong Learning Policy"</t>
  </si>
  <si>
    <t>1.2.2.1.</t>
  </si>
  <si>
    <t>Aktivitāte "Mūžizglītības attīstība"/ Activity "Development of lifelong education"</t>
  </si>
  <si>
    <t>1.2.2.1.1.</t>
  </si>
  <si>
    <t>Apakšaktivitāte " Mūžizglītības pārvaldes struktūras izveide nacionālā līmenī un inovatīvu mūžizglītības politikas instrumentu izstrāde"/ Sub-activity "Lifelong learning administrating system foundation on national level and output of  innovative lifelong learning policy instruments"</t>
  </si>
  <si>
    <t xml:space="preserve">Apakšaktivitāte "Atbalsts Mūžizglītības politikas pamatnostādņu īstenošanai"/ Sub-activity "Support to Implement Lifelong Learning Policy Guidelines" </t>
  </si>
  <si>
    <t>1.2.2.1.3.</t>
  </si>
  <si>
    <t xml:space="preserve">Apakšaktivitāte „Īpašu mūžizglītības politikas jomu atbalsts/ Sub-activity „Support for specific spheres of lifelong Learning Policy” </t>
  </si>
  <si>
    <t>1.2.2.1.5</t>
  </si>
  <si>
    <t xml:space="preserve">Apakšaktivitāte "Pedagogu konkurētspējas veicināšana izglītības sistēmas optimizācijas apstākļos" / Sub-activity "Promotion of Educators’ Competitiveness within the Optimization of Educational System" </t>
  </si>
  <si>
    <t>1.2.2.2.</t>
  </si>
  <si>
    <t>Aktivitāte "Profesionālās orientācijas un karjeras izglītības attīstība, profesionāli orientētās izglītības attīstība" / Sub-activity "Support to Implement Lifelong Learning Policy Guidelines"</t>
  </si>
  <si>
    <t>1.2.2.2.1.</t>
  </si>
  <si>
    <t>Apakšaktivitāte "Profesionālās orientācijas un karjeras izglītības attīstība izglītības sistēmā" / Sub-activity "Development of Professional Orientation and Career-Related Education in the Educational System"</t>
  </si>
  <si>
    <t>1.2.2.2.2.</t>
  </si>
  <si>
    <t xml:space="preserve">Apakšaktivitāte "Profesionālās orientācijas un karjeras izglītības pieejamības palielināšana jauniešiem, profesionāli orientētās izglītības attīstība"/ Sub-activity "Increase of Youth Access to Professional Orientation and Career Education, Development of Profession-Related Education" </t>
  </si>
  <si>
    <t>1.2.2.3.</t>
  </si>
  <si>
    <t>Aktivitāte "Par izglītības un mūžizglītības politiku atbildīgo institūciju rīcībspējas un sadarbības stiprināšana" / Improvement of cooperation and capacity strengthening of institutions responsible for the education and lifelong learning policy</t>
  </si>
  <si>
    <t>1.2.2.3.1.</t>
  </si>
  <si>
    <t>Aktivitāte "Par izglītības un mūžizglītības politiku atbildīgo institūciju rīcībspējas un sadarbības stiprināšana"/ Activity "Improvement of cooperation and capacity strengthening of institutions responsible for the education and lifelong learning policy"</t>
  </si>
  <si>
    <t>1.2.2.3.2.</t>
  </si>
  <si>
    <t>Apakšaktivitāte „Atbalsts izglītības pētījumiem” / Sub-activity „Support for education research”</t>
  </si>
  <si>
    <t>7; 12</t>
  </si>
  <si>
    <t>1.2.2.4.</t>
  </si>
  <si>
    <t>Aktivitāte "Izglītības pieejamības nodrošināšana sociālās atstumtības riskam pakļautajiem jauniešiem un iekļaujošas izglītības attīstība"/ Activity "Improvement of education accessibility for young people groups at risk of social exclusion and development of inclusive education"</t>
  </si>
  <si>
    <t>1.2.2.4.1.</t>
  </si>
  <si>
    <t>Apakšaktivitāte "Iekļaujošas izglītības un sociālās atstumtības riskam pakļauto jauniešu atbalsta sistēmas izveide, nepieciešamā personāla sagatavošana, nodrošināšana un kompetences paaugstināšana" / Sub-activity "Formation of Support System for Inclusive Education and Youth at Risk of Social Exclusion, Training, Ensuring and Competence Promoting of the Necessary Personnel"</t>
  </si>
  <si>
    <t>4.1.; 5</t>
  </si>
  <si>
    <t xml:space="preserve">1.2.2.4.2. </t>
  </si>
  <si>
    <t>Apakšaktivitāte "Atbalsta pasākumu īstenošana jauniešu sociālās atstumtības riska mazināšanai un jauniešu ar funkcionālajiem traucējumiem integrācijai izglītībā"/ Sub-activity "Implementation of Support Measures for Social Exclusion Decrease of Youth and Integration of Disabled Youth into Education"</t>
  </si>
  <si>
    <t>IZM</t>
  </si>
  <si>
    <t>4.1., 5</t>
  </si>
  <si>
    <t xml:space="preserve">1.3. </t>
  </si>
  <si>
    <t>Prioritāte "Nodarbinātības veicināšana un veselība darbā" / Priority "Promotion of Employment and Health at Work"</t>
  </si>
  <si>
    <t>1.3.1.</t>
  </si>
  <si>
    <t>Pasākums "Nodarbinātība" / Measure "Employment"</t>
  </si>
  <si>
    <t>1.3.1.1.</t>
  </si>
  <si>
    <t>Aktivitāte "Darbaspējas vecuma iedzīvotāju konkurētspējas paaugstināšana darba tirgū, t.sk., nodarbināto pārkvalifikācija un aktīvie nodarbinātības pasākumi / Activity "Enhancement of the competitiveness of residents in working age, including retraining and active employment measures"</t>
  </si>
  <si>
    <t>Apakšaktivitāte "Atbalsts nodarbināto apmācībām komersantu konkurētspējas veicināšanai - atbalsts partnerībās organizētām apmācībām "/ Sub-activity "Support to training for employed in partnership"</t>
  </si>
  <si>
    <t>Apakšaktivitāte "Bezdarbnieku un darba meklētāju apmācība"/ Sub-activity "Training of unemployed and job seekers"</t>
  </si>
  <si>
    <t>Apakšaktivitāte "Atbalsts nodarbināto apmācībām komersantu konkurētspējas veicināšanai - atbalsts komersantu individuāli organizētām apmācībām"/ Sub-activity - "Support to training for employed for enhancing competitiveness of enterprises - support to individually organized training by enterprises"</t>
  </si>
  <si>
    <t xml:space="preserve">1.3.1.1.5. </t>
  </si>
  <si>
    <t>Apakšaktivitāte "Atbalsts potenciālo bezdarbnieku apmācībai" / Sub-activity "Support to people at risk of unemployment"</t>
  </si>
  <si>
    <t>Aktivitāte "Atbalsts darba vietu radīšanai" / Activity "Support to create new jobs"</t>
  </si>
  <si>
    <t>1.3.1.2.</t>
  </si>
  <si>
    <t>Aktivitāte "Atbalsts pašnodarbinātības un uzņēmējdarbības uzsākšanai"/ Activity "Support for self-employment and business start-ups"</t>
  </si>
  <si>
    <t>1.3.1.3.</t>
  </si>
  <si>
    <t>Aktivitāte "Darba attiecību un darba drošības normatīvo aktu  praktiska piemērošana un uzraudzības pilnveidošana"/ Activity "Practical application of the legislation on labour relations, occupational safety and health, and improvement of supervision"</t>
  </si>
  <si>
    <t>1.3.1.3.1.</t>
  </si>
  <si>
    <t>Apakšaktivitāte "Darba attiecību un darba drošības normatīvo aktu uzraudzības pilnveidošana" / Sub-activity "Improvement of supervision of labour relations and occupational safety and health legislation implementation"</t>
  </si>
  <si>
    <t>_</t>
  </si>
  <si>
    <t>1.3.1.3.2.</t>
  </si>
  <si>
    <t>Apakšaktivitāte "Darba attiecību un darba drošības normatīvo aktu praktiska piemērošana nozarēs un uzņēmumos" / Sub-activity "Practical application of the legislation on occupational safety and health and labour relations in sectors and enterprises"</t>
  </si>
  <si>
    <t>1.3.1.4.</t>
  </si>
  <si>
    <t>Aktivitāte "Kapacitātes stiprināšana darba tirgus institūcijām"/ Activity "Capacity building of labour market institutions"</t>
  </si>
  <si>
    <t>Aktivitāte "Vietējo nodarbinātības veicināšanas pasākumu plānu ieviešanas atbalsts" / Activity "Support for the implementation of regional action plans for promotion of employment"</t>
  </si>
  <si>
    <t>1.3.1.6.</t>
  </si>
  <si>
    <t xml:space="preserve">Aktivitāte "Atbalsts dzimumu līdztiesības veicināšanai darba tirgū"/ Activity "Promotion of gender equality in the labour market" </t>
  </si>
  <si>
    <t>1.3.1.7.</t>
  </si>
  <si>
    <t>Aktivitāte "Darba tirgus pieprasījuma īstermiņa un ilgtermiņa prognozēšanas un uzraudzības sistēmas attīstība"/ Activity "Forecasting short-term and long-term labour market demands and the development of a monitoring system"</t>
  </si>
  <si>
    <t>1.3.1.8.</t>
  </si>
  <si>
    <t>Aktivitāte "Atbalsts labāko inovatīvo risinājumu meklējumiem un labas prakses piemēru integrēšanai darba tirgus politikās un ieviešanas instrumentārijos" / Activity "Support for seeking the best innovative solutions and for integrating the best practices in the labour market policies and implementation instruments"</t>
  </si>
  <si>
    <t>1.3.1.9.</t>
  </si>
  <si>
    <t>Aktivitāte "Augstas kvalifikācijas darbinieku piesaiste" / Activity "Attraction of highly qualified employees"</t>
  </si>
  <si>
    <t>1.3.2.</t>
  </si>
  <si>
    <t>Pasākums "Veselība darbā"/ Measure "Health at work"</t>
  </si>
  <si>
    <t>1.3.2.1.</t>
  </si>
  <si>
    <t>Aktivitāte "Veselības uzlabošana darbavietā, veicinot ilgtspējīgu nodarbinātību"/ Activity "Better Health at Work and Sustaining Employment"</t>
  </si>
  <si>
    <t>1.3.2.2.</t>
  </si>
  <si>
    <t>Aktivitāte "Pētījumi un aptaujas par veselību darbā"/ Activity "Studies and surveys in health at work"</t>
  </si>
  <si>
    <t>Aktivitāte "Veselības aprūpes un veicināšanas procesā iesaistīto institūciju personāla kompetences, prasmju un iemaņu līmeņa paaugstināšana"/ Activitity "Enhancement of competencies, qualification and skills of health care and health promotion professionals"</t>
  </si>
  <si>
    <t>1.4.</t>
  </si>
  <si>
    <t>Prioritāte "Sociālās iekļaušanas veicināšana"/ Priority "Promotion of Social Inclusion"</t>
  </si>
  <si>
    <t>1.4.1.</t>
  </si>
  <si>
    <t>Pasākums "Sociālā iekļaušana"/ Measure "Social Inclusion"</t>
  </si>
  <si>
    <t>1.4.1.1.</t>
  </si>
  <si>
    <t xml:space="preserve">Aktivitāte "Iedzīvotāju ekonomiskās aktivitātes stimulēšana"/ Activity "Stimulating economic activity of the population" </t>
  </si>
  <si>
    <t>LM /MoW</t>
  </si>
  <si>
    <t>Apakšaktivitāte "Kompleksi atbalsta pasākumi iedzīvotāju integrēšanai darba tirgū"/ Sub-activity „Complex supporting activities for inhabitants’ integration in labour market”</t>
  </si>
  <si>
    <t>1; 5</t>
  </si>
  <si>
    <t>Apakšaktivitāte "Atbalstītās nodarbinātības pasākumi mērķgrupu bezdarbniekiem"/ Activity "Supported employment measures for unemployed persons from specific target groups"</t>
  </si>
  <si>
    <t>1.4.1.2.</t>
  </si>
  <si>
    <t>Aktivitāte "Darbspēju vērtēšanas sistēmas un sociālo pakalpojumu ieviešanas sistēmas pilnveidošana"/ Activity "Improvement of the working capacity evaluation system and the system of introducing social services"</t>
  </si>
  <si>
    <t xml:space="preserve">1.4.1.2.1. </t>
  </si>
  <si>
    <t>Apakšaktivitāte "Darbspēju vērtēšanas sistēmas pilnveidošana"/ Sub-activity „Development of the system for working ability assesment”</t>
  </si>
  <si>
    <t>1.4.1.2.2.</t>
  </si>
  <si>
    <t>Apakšaktivitāte "Sociālās rehabilitācijas pakalpojumu attīstība personām ar redzes un dzirdes traucējumiem"/ Sub-activity „The development of social rehabilitation services for persons with sight and hearing disorders”</t>
  </si>
  <si>
    <t>Sociālās rehabilitācijas un institūcijām alternatīvu sociālās aprūpes pakalpojumu attīstība reģionos/ Sub-activity „Development of social rehabilitation and alternative social care services in regions“</t>
  </si>
  <si>
    <t>1.5.</t>
  </si>
  <si>
    <t xml:space="preserve">Prioritāte "Administratīvās kapacitātes stiprināšana"/ Priority "Administrative Capacity Building" </t>
  </si>
  <si>
    <t>1.5.1.</t>
  </si>
  <si>
    <t>Pasākums "Labāka regulējuma politika"/ Measure "Better Regulation Policy"</t>
  </si>
  <si>
    <t>1.5.1.1.</t>
  </si>
  <si>
    <t>Aktivitāte "Politikas ietekmes novērtēšana un politikas pētījumu veikšana"/ Activity "Policy Impact Assessment and Conducting Policy Research"</t>
  </si>
  <si>
    <t>Apakšaktivitāte "Atbalsts strukturālo reformu īstenošanai un analītisko spēju stiprināšanai valsts pārvaldē"/ Sub-activity "Improvement of Policy Planning, Policy Implementation and Policy Impact Assessment"</t>
  </si>
  <si>
    <t>FM/MoF</t>
  </si>
  <si>
    <t>1.5.1.1.2.</t>
  </si>
  <si>
    <t>Apakšaktivitāte "Politikas pētījumu veikšana"/ Sub-activity "Conducting Policy Research"</t>
  </si>
  <si>
    <t>Vkanceleja/State Chancellery</t>
  </si>
  <si>
    <t>1.5.1.2.</t>
  </si>
  <si>
    <t>Aktivitāte "Administratīvo šķēršļu samazināšana un publisko pakalpojumu kvalitātes uzlabošana"/ Activity "Reduction of Administrative Barriers and Quality Improvement of Public Services"</t>
  </si>
  <si>
    <t>1.5.1.3.</t>
  </si>
  <si>
    <t>Aktivitāte "Publisko varu realizējošo institūciju darbības kvalitātes un efektivitātes paaugstināšana"/ Activity "Increasing Operational Quality and Efficiency of Public Administration Institutions"</t>
  </si>
  <si>
    <t>1.5.1.3.1.</t>
  </si>
  <si>
    <t>Apakšaktivitāte "Kvalitātes vadības sistēmas izveide un ieviešana"/ Sub-activity "Development and Introduction of the Quality Management System"</t>
  </si>
  <si>
    <t>1.5.1.3.2.</t>
  </si>
  <si>
    <t>Apakšaktivitāte "Publisko pakalpojumu kvalitātes paaugstināšana valsts, reģionālā un vietējā līmenī"/ Sub-activity "Improvement of Quality of Public Services at the National, Regional and Local Level"</t>
  </si>
  <si>
    <t>1.5.2.</t>
  </si>
  <si>
    <t>Pasākums "Cilvēkresursu kapacitātes stiprināšana" / Measure "Capacity Building of Human Resources"   </t>
  </si>
  <si>
    <t>Aktivitāte "Publiskās pārvaldes cilvēkresursu plānošanas un vadības IT sistēmas izstrāde un ieviešana" / Activity "Development of Human Resource Planning and Management System in Public Administration"</t>
  </si>
  <si>
    <t>1.5.2.2.</t>
  </si>
  <si>
    <t>Aktivitāte "Sociālo partneru, nevalstisko organizāciju un pašvaldību kapacitātes stiprināšana"/ Activity "Capacity Building of Social Partners, Non-Governmental Organisations and Municipalities"</t>
  </si>
  <si>
    <t>1.5.2.2.1.</t>
  </si>
  <si>
    <t>Apakšaktivitāte "Sociālo partneru administratīvās kapacitātes stiprināšana"/ Sub-activity "Administrative Capacity Building of Social Partners"</t>
  </si>
  <si>
    <t>1.5.2.2.2.</t>
  </si>
  <si>
    <t>Apakšaktivitāte "NVO administratīvās kapacitātes stiprināšana"/ Sub-activity "Administrative Capacity Building of NGOs"</t>
  </si>
  <si>
    <t>1.5.2.2.3.</t>
  </si>
  <si>
    <t>Apakšaktivitāte "Atbalsts pašvaldībām kapacitātes stiprināšanā Eiropas Savienības struktūrfondu finansēto pasākumu ieviešanā" / Sub-activity "Support to Municipalities in Building their Capacities to Implement Measures financed by the Structural Funds"</t>
  </si>
  <si>
    <t>1.5.3.</t>
  </si>
  <si>
    <t xml:space="preserve">Pasākums "Plānošanas reģionu un vietējo pašvaldību administratīvās un attīstības plānošanas kapacitātes stiprināšana"/ Measure "Administrative Capacity and Development Planning Capacity Building of Planning Regions and Local Governments" </t>
  </si>
  <si>
    <t>1.5.3.1.</t>
  </si>
  <si>
    <t>Aktivitāte "Speciālistu piesaiste plānošanas reģioniem, pilsētām un novadiem" / Activity "Attracting Specialists to Planning Regions, Towns and Amalgamated Municipalities"</t>
  </si>
  <si>
    <t xml:space="preserve">1.5.3.2. </t>
  </si>
  <si>
    <t>Aktivitāte "Plānošanas reģionu un vietējo pašvaldību attīstības plānošanas kapacitātes paaugstināšana" / Activity "Development Planning Capacity Building of Planning Regions and Local Governments"</t>
  </si>
  <si>
    <r>
      <t>1.6.</t>
    </r>
    <r>
      <rPr>
        <b/>
        <vertAlign val="superscript"/>
        <sz val="13"/>
        <rFont val="Times New Roman"/>
        <family val="1"/>
        <charset val="186"/>
      </rPr>
      <t xml:space="preserve"> </t>
    </r>
  </si>
  <si>
    <t>Prioritāte "Tehniskā palīdzība"/ Technical Assistance</t>
  </si>
  <si>
    <t>1.6.1.</t>
  </si>
  <si>
    <t xml:space="preserve">Pasākums "Atbalsts darbības programmas "Cilvēkresursi un nodarbinātība" vadībai"/ Measure “Assistance for the Management of the Operational Programme „Human Resources and Employment”” </t>
  </si>
  <si>
    <t>1.6.1.1.</t>
  </si>
  <si>
    <t>Aktivitāte "Programmas vadības un atbalsta funkciju nodrošināšana"/ Activity "Assistance for the Management of the Operational Programme"</t>
  </si>
  <si>
    <r>
      <t>Kop. attiec. izmaksas, /Total eligible costs</t>
    </r>
    <r>
      <rPr>
        <b/>
        <vertAlign val="superscript"/>
        <sz val="13"/>
        <rFont val="Times New Roman"/>
        <family val="1"/>
        <charset val="186"/>
      </rPr>
      <t>3</t>
    </r>
  </si>
  <si>
    <r>
      <rPr>
        <i/>
        <vertAlign val="superscript"/>
        <sz val="13"/>
        <rFont val="Times New Roman"/>
        <family val="1"/>
        <charset val="186"/>
      </rPr>
      <t xml:space="preserve">3 </t>
    </r>
    <r>
      <rPr>
        <i/>
        <sz val="13"/>
        <rFont val="Times New Roman"/>
        <family val="1"/>
        <charset val="186"/>
      </rPr>
      <t>Kopējās attiecināmās izmaksas veido ES fondu finansējums, nacionālais publiskais finansējums un privātais finansējums</t>
    </r>
  </si>
  <si>
    <r>
      <t>Publiskais finansējums/Public financing</t>
    </r>
    <r>
      <rPr>
        <b/>
        <vertAlign val="superscript"/>
        <sz val="13"/>
        <rFont val="Times New Roman"/>
        <family val="1"/>
        <charset val="186"/>
      </rPr>
      <t>4</t>
    </r>
  </si>
  <si>
    <r>
      <rPr>
        <i/>
        <vertAlign val="superscript"/>
        <sz val="13"/>
        <rFont val="Times New Roman"/>
        <family val="1"/>
        <charset val="186"/>
      </rPr>
      <t xml:space="preserve">4 </t>
    </r>
    <r>
      <rPr>
        <i/>
        <sz val="13"/>
        <rFont val="Times New Roman"/>
        <family val="1"/>
        <charset val="186"/>
      </rPr>
      <t>Publisko finansējumu veido ES fondu finansējums un nacionālais publiskais finansējums</t>
    </r>
  </si>
  <si>
    <r>
      <t>Nacionālais publiskais finansējums/National public financing</t>
    </r>
    <r>
      <rPr>
        <b/>
        <vertAlign val="superscript"/>
        <sz val="13"/>
        <rFont val="Times New Roman"/>
        <family val="1"/>
        <charset val="186"/>
      </rPr>
      <t>5</t>
    </r>
  </si>
  <si>
    <r>
      <t>Deklarējamie izdevumi/Certified eligible expenditure (Izdevumi, ko veikusi iestāde, kas atbildīga par maksājumu izdarīšanu atbalsta saņēmējiem/Certified eligible expenditure paid by beneficiaries),EUR (ECB kurss)</t>
    </r>
    <r>
      <rPr>
        <b/>
        <vertAlign val="superscript"/>
        <sz val="13"/>
        <rFont val="Times New Roman"/>
        <family val="1"/>
        <charset val="186"/>
      </rPr>
      <t>6</t>
    </r>
  </si>
  <si>
    <t>1.1.1.2.</t>
  </si>
  <si>
    <r>
      <t xml:space="preserve">1.2.1.1.3. </t>
    </r>
    <r>
      <rPr>
        <vertAlign val="superscript"/>
        <sz val="13"/>
        <rFont val="Times New Roman"/>
        <family val="1"/>
        <charset val="186"/>
      </rPr>
      <t xml:space="preserve"> </t>
    </r>
    <r>
      <rPr>
        <sz val="13"/>
        <rFont val="Times New Roman"/>
        <family val="1"/>
        <charset val="186"/>
      </rPr>
      <t xml:space="preserve"> </t>
    </r>
  </si>
  <si>
    <t xml:space="preserve">1.2.1.1.4. </t>
  </si>
  <si>
    <r>
      <t>1.2.2.1.2.</t>
    </r>
    <r>
      <rPr>
        <sz val="13"/>
        <rFont val="Times New Roman"/>
        <family val="1"/>
        <charset val="186"/>
      </rPr>
      <t xml:space="preserve"> </t>
    </r>
  </si>
  <si>
    <t xml:space="preserve">1.3.1.1.1. </t>
  </si>
  <si>
    <t xml:space="preserve">1.3.1.1.3. </t>
  </si>
  <si>
    <t xml:space="preserve">1.3.1.1.4. </t>
  </si>
  <si>
    <t xml:space="preserve">1.3.1.1.6. </t>
  </si>
  <si>
    <t xml:space="preserve">1.3.1.5. </t>
  </si>
  <si>
    <t xml:space="preserve">1.3.2.3. </t>
  </si>
  <si>
    <t xml:space="preserve">1.4.1.1.1. </t>
  </si>
  <si>
    <t xml:space="preserve">1.4.1.1.2. </t>
  </si>
  <si>
    <r>
      <t xml:space="preserve">6 </t>
    </r>
    <r>
      <rPr>
        <i/>
        <sz val="13"/>
        <rFont val="Times New Roman"/>
        <family val="1"/>
        <charset val="186"/>
      </rPr>
      <t>Saskaņā ar 08.12.2006. Regulas (EK) Nr.1828/2006 18.pielikumu 2.1.2. punktu. Deklarējami izdevumi ir izteikti euro. Maksājuma pieprasījumiem, kas samaksāti līdz 31.12.2013. pēc Eiropas Centrālas bankas kursa un maksājuma pieprasījumiem, kas samaksāti pēc 01.01.2014. pēc Latvijas bankas fiksēta kursa 1 EUR = 0,702804 LVL</t>
    </r>
  </si>
  <si>
    <t>ESF/ ERAF
ESF and ERDF</t>
  </si>
  <si>
    <t>ESF/ERAF
ESF and ERDF</t>
  </si>
  <si>
    <t>ERAF/ERDF</t>
  </si>
  <si>
    <t>1.1.2.1.1.</t>
  </si>
  <si>
    <r>
      <t xml:space="preserve">Kopējais finansējums/Total </t>
    </r>
    <r>
      <rPr>
        <b/>
        <vertAlign val="superscript"/>
        <sz val="13"/>
        <rFont val="Times New Roman"/>
        <family val="1"/>
        <charset val="186"/>
      </rPr>
      <t>3</t>
    </r>
    <r>
      <rPr>
        <b/>
        <sz val="13"/>
        <rFont val="Times New Roman"/>
        <family val="1"/>
        <charset val="186"/>
      </rPr>
      <t xml:space="preserve"> </t>
    </r>
  </si>
  <si>
    <t>* Deklarējamo izdevumu apmērs lielāks nekā finansējuma saņēmējam iesniegto maksājumu pieprasījumu apjoms, ņemot vērā Eiropas Centrālās bankas un Latvijas bankas fiksēta euro kursa atšķirības.</t>
  </si>
  <si>
    <t>1.4.1.2.4.</t>
  </si>
  <si>
    <t>1.5.1.1.1.</t>
  </si>
  <si>
    <t>1.5.2.1.</t>
  </si>
  <si>
    <t>ES fondu finansējums pēc DP noteiktajām prioritātes likmēm/EU funding calculated of OP priority rates</t>
  </si>
  <si>
    <t>10=11*9</t>
  </si>
  <si>
    <t>13=12/8</t>
  </si>
  <si>
    <t>14=11-16</t>
  </si>
  <si>
    <t>15=14-12</t>
  </si>
  <si>
    <r>
      <t>No EK saņemtie starpposma maksājumi/Payments received from the EC</t>
    </r>
    <r>
      <rPr>
        <b/>
        <vertAlign val="superscript"/>
        <sz val="13"/>
        <rFont val="Times New Roman"/>
        <family val="1"/>
        <charset val="186"/>
      </rPr>
      <t xml:space="preserve"> 7</t>
    </r>
    <r>
      <rPr>
        <b/>
        <sz val="13"/>
        <rFont val="Times New Roman"/>
        <family val="1"/>
        <charset val="186"/>
      </rPr>
      <t xml:space="preserve">, </t>
    </r>
  </si>
  <si>
    <r>
      <rPr>
        <i/>
        <vertAlign val="superscript"/>
        <sz val="13"/>
        <rFont val="Times New Roman"/>
        <family val="1"/>
        <charset val="186"/>
      </rPr>
      <t>5</t>
    </r>
    <r>
      <rPr>
        <i/>
        <sz val="13"/>
        <rFont val="Times New Roman"/>
        <family val="1"/>
        <charset val="186"/>
      </rPr>
      <t>Nacionālo publisko finansējumu veido valsts budžets, valsts budžeta dotācija pašvaldībām, pašvaldības finansējums un cits publiskais finansējums.</t>
    </r>
  </si>
  <si>
    <r>
      <t>Institūcija</t>
    </r>
    <r>
      <rPr>
        <b/>
        <vertAlign val="superscript"/>
        <sz val="13"/>
        <rFont val="Times New Roman"/>
        <family val="1"/>
        <charset val="186"/>
      </rPr>
      <t>1</t>
    </r>
    <r>
      <rPr>
        <b/>
        <sz val="13"/>
        <rFont val="Times New Roman"/>
        <family val="1"/>
        <charset val="204"/>
      </rPr>
      <t>/ Institution</t>
    </r>
    <r>
      <rPr>
        <b/>
        <vertAlign val="superscript"/>
        <sz val="13"/>
        <rFont val="Times New Roman"/>
        <family val="1"/>
        <charset val="186"/>
      </rPr>
      <t>1</t>
    </r>
  </si>
  <si>
    <t>State Chancellery</t>
  </si>
  <si>
    <t>18=17/8</t>
  </si>
  <si>
    <t>19=a-f</t>
  </si>
  <si>
    <t>20=19/7</t>
  </si>
  <si>
    <t>21=b-g</t>
  </si>
  <si>
    <t>22=21/8</t>
  </si>
  <si>
    <t>23=19-25</t>
  </si>
  <si>
    <t>24=19-21-25</t>
  </si>
  <si>
    <t>25=e-k</t>
  </si>
  <si>
    <t>n/a</t>
  </si>
  <si>
    <t xml:space="preserve">ES fondu 2007.-2013.gada plānošanas perioda darbības programmas "Cilvēkresursi un nodarbinātība" ieviešanas statuss / EU Funds 2007-2013 planning period Operational programme „Human Resources and Employment” status of implementation  </t>
  </si>
  <si>
    <t>17=19*9</t>
  </si>
  <si>
    <t>27=26/8</t>
  </si>
  <si>
    <r>
      <t>20 % enerģijas jāiegūst no atjaunojamiem avotiem (</t>
    </r>
    <r>
      <rPr>
        <sz val="12"/>
        <color rgb="FFFF0000"/>
        <rFont val="Times New Roman"/>
        <family val="1"/>
        <charset val="186"/>
      </rPr>
      <t>LV nacionālais mērķis 40%</t>
    </r>
    <r>
      <rPr>
        <sz val="12"/>
        <color theme="1"/>
        <rFont val="Times New Roman"/>
        <family val="1"/>
        <charset val="186"/>
      </rPr>
      <t>)</t>
    </r>
  </si>
  <si>
    <r>
      <t>par 20 % jāuzlabo energoefektivitāte (</t>
    </r>
    <r>
      <rPr>
        <sz val="12"/>
        <color rgb="FFFF0000"/>
        <rFont val="Times New Roman"/>
        <family val="1"/>
        <charset val="186"/>
      </rPr>
      <t>LV nacionālais mērķis 0.67)</t>
    </r>
  </si>
  <si>
    <r>
      <t>Pētniecība, attīstība un inovācija</t>
    </r>
    <r>
      <rPr>
        <sz val="12"/>
        <color theme="1"/>
        <rFont val="Times New Roman"/>
        <family val="1"/>
        <charset val="186"/>
      </rPr>
      <t>s - šajā jomā jāiegulda 3 % no ES iekšzemes kopprodukta (gan no publiskā, gan privātā sektora) (</t>
    </r>
    <r>
      <rPr>
        <sz val="12"/>
        <color rgb="FFFF0000"/>
        <rFont val="Times New Roman"/>
        <family val="1"/>
        <charset val="186"/>
      </rPr>
      <t>LV nacionālais mērķis 1.5%</t>
    </r>
    <r>
      <rPr>
        <sz val="12"/>
        <color theme="1"/>
        <rFont val="Times New Roman"/>
        <family val="1"/>
        <charset val="186"/>
      </rPr>
      <t>)</t>
    </r>
  </si>
  <si>
    <r>
      <t>Nabadzība un sociālā atstumtība</t>
    </r>
    <r>
      <rPr>
        <sz val="12"/>
        <color theme="1"/>
        <rFont val="Times New Roman"/>
        <family val="1"/>
        <charset val="186"/>
      </rPr>
      <t xml:space="preserve"> — vismaz par 20 miljoniem jāsamazina to cilvēku skaits, kuri dzīvo nabadzībā vai ir sociāli atstumti (vai kuriem draud šāds liktenis) (</t>
    </r>
    <r>
      <rPr>
        <sz val="12"/>
        <color rgb="FFFF0000"/>
        <rFont val="Times New Roman"/>
        <family val="1"/>
        <charset val="186"/>
      </rPr>
      <t>LV nacionālais mērķis 121 000 personas</t>
    </r>
    <r>
      <rPr>
        <sz val="12"/>
        <color theme="1"/>
        <rFont val="Times New Roman"/>
        <family val="1"/>
        <charset val="186"/>
      </rPr>
      <t>)</t>
    </r>
  </si>
  <si>
    <r>
      <rPr>
        <i/>
        <vertAlign val="superscript"/>
        <sz val="13"/>
        <rFont val="Times New Roman"/>
        <family val="1"/>
        <charset val="186"/>
      </rPr>
      <t>7</t>
    </r>
    <r>
      <rPr>
        <i/>
        <sz val="13"/>
        <rFont val="Times New Roman"/>
        <family val="1"/>
        <charset val="186"/>
      </rPr>
      <t xml:space="preserve"> No EK saņemtie avansi kopā 1DP ir 71 584 983,21 EUR, tādējādi no EK saņemtie maksājumi (avansi un starpposma maksājumi) kopā ir 553 948 531,15 EUR, kas ir 95% no finansējuma atbilstoši DP.</t>
    </r>
  </si>
  <si>
    <t>uz 20.03.2017</t>
  </si>
  <si>
    <t>DARBA KOLONNAS, LAI APRĒĶINĀTU DEKLARĒJAMOS IZDEVUMUS (15.-22. KOLONNAS)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</si>
</sst>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0.0%"/>
    <numFmt numFmtId="165" formatCode="0.0"/>
    <numFmt numFmtId="166" formatCode="0.000"/>
    <numFmt numFmtId="167" formatCode="_-&quot;£&quot;* #,##0.00_-;\-&quot;£&quot;* #,##0.00_-;_-&quot;£&quot;* &quot;-&quot;??_-;_-@_-"/>
    <numFmt numFmtId="168" formatCode="________@"/>
    <numFmt numFmtId="169" formatCode="____________@"/>
    <numFmt numFmtId="170" formatCode="________________@"/>
    <numFmt numFmtId="171" formatCode="____________________@"/>
  </numFmts>
  <fonts count="84">
    <font>
      <sz val="11"/>
      <color theme="1"/>
      <name val="Calibri"/>
      <family val="2"/>
      <charset val="186"/>
      <scheme val="minor"/>
    </font>
    <font>
      <sz val="12"/>
      <color theme="1"/>
      <name val="Times New Roman"/>
      <family val="2"/>
      <charset val="186"/>
    </font>
    <font>
      <sz val="12"/>
      <color theme="1"/>
      <name val="Times New Roman"/>
      <family val="2"/>
      <charset val="186"/>
    </font>
    <font>
      <sz val="12"/>
      <color theme="1"/>
      <name val="Times New Roman"/>
      <family val="2"/>
      <charset val="186"/>
    </font>
    <font>
      <sz val="10"/>
      <name val="Arial"/>
      <family val="2"/>
      <charset val="186"/>
    </font>
    <font>
      <sz val="10"/>
      <name val="Arial"/>
      <family val="2"/>
      <charset val="186"/>
    </font>
    <font>
      <sz val="11"/>
      <color theme="1"/>
      <name val="Calibri"/>
      <family val="2"/>
      <charset val="186"/>
      <scheme val="minor"/>
    </font>
    <font>
      <sz val="13"/>
      <name val="Times New Roman"/>
      <family val="1"/>
      <charset val="204"/>
    </font>
    <font>
      <b/>
      <sz val="13"/>
      <name val="Times New Roman"/>
      <family val="1"/>
      <charset val="204"/>
    </font>
    <font>
      <i/>
      <sz val="13"/>
      <name val="Times New Roman"/>
      <family val="1"/>
      <charset val="204"/>
    </font>
    <font>
      <b/>
      <sz val="15"/>
      <name val="Times New Roman"/>
      <family val="1"/>
      <charset val="204"/>
    </font>
    <font>
      <sz val="15"/>
      <name val="Times New Roman"/>
      <family val="1"/>
      <charset val="204"/>
    </font>
    <font>
      <b/>
      <vertAlign val="superscript"/>
      <sz val="13"/>
      <name val="Times New Roman"/>
      <family val="1"/>
      <charset val="186"/>
    </font>
    <font>
      <b/>
      <sz val="13"/>
      <name val="Times New Roman"/>
      <family val="1"/>
      <charset val="186"/>
    </font>
    <font>
      <i/>
      <sz val="13"/>
      <name val="Times New Roman"/>
      <family val="1"/>
      <charset val="186"/>
    </font>
    <font>
      <i/>
      <vertAlign val="superscript"/>
      <sz val="13"/>
      <name val="Times New Roman"/>
      <family val="1"/>
      <charset val="186"/>
    </font>
    <font>
      <sz val="10"/>
      <color theme="1"/>
      <name val="Times New Roman"/>
      <family val="2"/>
      <charset val="186"/>
    </font>
    <font>
      <sz val="11"/>
      <name val="Calibri"/>
      <family val="2"/>
      <charset val="186"/>
      <scheme val="minor"/>
    </font>
    <font>
      <b/>
      <sz val="15"/>
      <name val="Times New Roman"/>
      <family val="1"/>
      <charset val="186"/>
    </font>
    <font>
      <sz val="10"/>
      <name val="Arial"/>
      <family val="2"/>
      <charset val="186"/>
    </font>
    <font>
      <sz val="13"/>
      <name val="Times New Roman"/>
      <family val="1"/>
      <charset val="186"/>
    </font>
    <font>
      <b/>
      <i/>
      <u/>
      <sz val="13"/>
      <name val="Times New Roman"/>
      <family val="1"/>
      <charset val="186"/>
    </font>
    <font>
      <sz val="11"/>
      <name val="Times New Roman"/>
      <family val="1"/>
      <charset val="186"/>
    </font>
    <font>
      <sz val="12"/>
      <color indexed="8"/>
      <name val="Times New Roman"/>
      <family val="2"/>
      <charset val="186"/>
    </font>
    <font>
      <sz val="12"/>
      <color indexed="9"/>
      <name val="Times New Roman"/>
      <family val="2"/>
      <charset val="186"/>
    </font>
    <font>
      <sz val="12"/>
      <color indexed="20"/>
      <name val="Times New Roman"/>
      <family val="2"/>
      <charset val="186"/>
    </font>
    <font>
      <b/>
      <sz val="12"/>
      <color indexed="52"/>
      <name val="Times New Roman"/>
      <family val="2"/>
      <charset val="186"/>
    </font>
    <font>
      <b/>
      <sz val="12"/>
      <color indexed="9"/>
      <name val="Times New Roman"/>
      <family val="2"/>
      <charset val="186"/>
    </font>
    <font>
      <i/>
      <sz val="12"/>
      <color indexed="23"/>
      <name val="Times New Roman"/>
      <family val="2"/>
      <charset val="186"/>
    </font>
    <font>
      <sz val="12"/>
      <color indexed="17"/>
      <name val="Times New Roman"/>
      <family val="2"/>
      <charset val="186"/>
    </font>
    <font>
      <b/>
      <sz val="15"/>
      <color indexed="56"/>
      <name val="Times New Roman"/>
      <family val="2"/>
      <charset val="186"/>
    </font>
    <font>
      <b/>
      <sz val="13"/>
      <color indexed="56"/>
      <name val="Times New Roman"/>
      <family val="2"/>
      <charset val="186"/>
    </font>
    <font>
      <b/>
      <sz val="11"/>
      <color indexed="56"/>
      <name val="Times New Roman"/>
      <family val="2"/>
      <charset val="186"/>
    </font>
    <font>
      <sz val="12"/>
      <color indexed="62"/>
      <name val="Times New Roman"/>
      <family val="2"/>
      <charset val="186"/>
    </font>
    <font>
      <sz val="12"/>
      <color indexed="52"/>
      <name val="Times New Roman"/>
      <family val="2"/>
      <charset val="186"/>
    </font>
    <font>
      <sz val="12"/>
      <color indexed="60"/>
      <name val="Times New Roman"/>
      <family val="2"/>
      <charset val="186"/>
    </font>
    <font>
      <b/>
      <sz val="12"/>
      <color indexed="63"/>
      <name val="Times New Roman"/>
      <family val="2"/>
      <charset val="186"/>
    </font>
    <font>
      <b/>
      <sz val="18"/>
      <color indexed="56"/>
      <name val="Cambria"/>
      <family val="2"/>
      <charset val="186"/>
    </font>
    <font>
      <b/>
      <sz val="12"/>
      <color indexed="8"/>
      <name val="Times New Roman"/>
      <family val="2"/>
      <charset val="186"/>
    </font>
    <font>
      <sz val="12"/>
      <color indexed="10"/>
      <name val="Times New Roman"/>
      <family val="2"/>
      <charset val="186"/>
    </font>
    <font>
      <sz val="10"/>
      <name val="Times New Roman"/>
      <family val="1"/>
      <charset val="186"/>
    </font>
    <font>
      <b/>
      <sz val="10"/>
      <name val="Times New Roman"/>
      <family val="1"/>
      <charset val="186"/>
    </font>
    <font>
      <sz val="10"/>
      <color indexed="8"/>
      <name val="Times New Roman"/>
      <family val="1"/>
      <charset val="186"/>
    </font>
    <font>
      <sz val="10"/>
      <name val="Helv"/>
    </font>
    <font>
      <sz val="10"/>
      <name val="Arial"/>
      <family val="2"/>
    </font>
    <font>
      <sz val="11"/>
      <color indexed="8"/>
      <name val="Calibri"/>
      <family val="2"/>
      <charset val="186"/>
    </font>
    <font>
      <sz val="11"/>
      <name val="BaltOptima"/>
      <charset val="186"/>
    </font>
    <font>
      <i/>
      <sz val="10"/>
      <color indexed="10"/>
      <name val="BaltTimesRoman"/>
      <family val="2"/>
      <charset val="186"/>
    </font>
    <font>
      <sz val="10"/>
      <color indexed="8"/>
      <name val="Arial"/>
      <family val="2"/>
      <charset val="186"/>
    </font>
    <font>
      <sz val="10"/>
      <color indexed="8"/>
      <name val="BaltTimesRoman"/>
      <family val="2"/>
      <charset val="186"/>
    </font>
    <font>
      <sz val="10"/>
      <name val="BaltGaramond"/>
      <family val="2"/>
    </font>
    <font>
      <b/>
      <sz val="12"/>
      <name val="Lat Times New Roman"/>
      <family val="1"/>
      <charset val="186"/>
    </font>
    <font>
      <b/>
      <sz val="10"/>
      <name val="Lat Times New Roman"/>
      <family val="1"/>
      <charset val="186"/>
    </font>
    <font>
      <sz val="10"/>
      <name val="BaltTimesRoman"/>
      <family val="2"/>
      <charset val="186"/>
    </font>
    <font>
      <sz val="10"/>
      <name val="RimHelvetica"/>
      <charset val="186"/>
    </font>
    <font>
      <sz val="10"/>
      <name val="Lat Times New Roman"/>
      <family val="1"/>
      <charset val="186"/>
    </font>
    <font>
      <sz val="10"/>
      <color indexed="12"/>
      <name val="BaltTimesRoman"/>
      <family val="2"/>
      <charset val="186"/>
    </font>
    <font>
      <sz val="11"/>
      <name val="Arial"/>
      <family val="2"/>
      <charset val="186"/>
    </font>
    <font>
      <sz val="10"/>
      <color indexed="10"/>
      <name val="BaltTimesRoman"/>
      <family val="2"/>
      <charset val="186"/>
    </font>
    <font>
      <b/>
      <sz val="14"/>
      <name val="Times New Roman"/>
      <family val="1"/>
      <charset val="186"/>
    </font>
    <font>
      <b/>
      <sz val="10"/>
      <name val="BaltTimesRoman"/>
      <family val="2"/>
      <charset val="186"/>
    </font>
    <font>
      <sz val="10"/>
      <name val="BaltGaramond"/>
      <family val="2"/>
      <charset val="186"/>
    </font>
    <font>
      <b/>
      <sz val="11"/>
      <name val="Calibri"/>
      <family val="2"/>
      <charset val="186"/>
      <scheme val="minor"/>
    </font>
    <font>
      <sz val="18"/>
      <name val="Times New Roman"/>
      <family val="1"/>
      <charset val="186"/>
    </font>
    <font>
      <b/>
      <sz val="18"/>
      <name val="Times New Roman"/>
      <family val="1"/>
      <charset val="204"/>
    </font>
    <font>
      <sz val="18"/>
      <name val="Calibri"/>
      <family val="2"/>
      <charset val="186"/>
      <scheme val="minor"/>
    </font>
    <font>
      <b/>
      <i/>
      <sz val="11"/>
      <name val="Calibri"/>
      <family val="2"/>
      <charset val="186"/>
      <scheme val="minor"/>
    </font>
    <font>
      <b/>
      <sz val="18"/>
      <name val="Times New Roman"/>
      <family val="1"/>
      <charset val="186"/>
    </font>
    <font>
      <b/>
      <i/>
      <sz val="15"/>
      <name val="Times New Roman"/>
      <family val="1"/>
    </font>
    <font>
      <sz val="12"/>
      <name val="Times New Roman"/>
      <family val="1"/>
      <charset val="186"/>
    </font>
    <font>
      <b/>
      <sz val="11"/>
      <name val="Times New Roman"/>
      <family val="1"/>
      <charset val="186"/>
    </font>
    <font>
      <sz val="9"/>
      <color theme="1"/>
      <name val="Arial"/>
      <family val="2"/>
      <charset val="186"/>
    </font>
    <font>
      <b/>
      <sz val="12"/>
      <color theme="1"/>
      <name val="Times New Roman"/>
      <family val="1"/>
      <charset val="186"/>
    </font>
    <font>
      <sz val="12"/>
      <color theme="1"/>
      <name val="Times New Roman"/>
      <family val="1"/>
      <charset val="186"/>
    </font>
    <font>
      <sz val="12"/>
      <color rgb="FFFF0000"/>
      <name val="Times New Roman"/>
      <family val="1"/>
      <charset val="186"/>
    </font>
    <font>
      <b/>
      <i/>
      <sz val="15"/>
      <name val="Times New Roman"/>
      <family val="1"/>
      <charset val="186"/>
    </font>
    <font>
      <sz val="15"/>
      <name val="Times New Roman"/>
      <family val="1"/>
      <charset val="186"/>
    </font>
    <font>
      <sz val="11"/>
      <color rgb="FFFF0000"/>
      <name val="Calibri"/>
      <family val="2"/>
      <charset val="186"/>
      <scheme val="minor"/>
    </font>
    <font>
      <vertAlign val="superscript"/>
      <sz val="13"/>
      <name val="Times New Roman"/>
      <family val="1"/>
      <charset val="186"/>
    </font>
    <font>
      <b/>
      <sz val="15"/>
      <color rgb="FFFF0000"/>
      <name val="Times New Roman"/>
      <family val="1"/>
      <charset val="204"/>
    </font>
    <font>
      <sz val="15"/>
      <color rgb="FFFF0000"/>
      <name val="Times New Roman"/>
      <family val="1"/>
      <charset val="204"/>
    </font>
    <font>
      <i/>
      <sz val="15"/>
      <name val="Times New Roman"/>
      <family val="1"/>
      <charset val="186"/>
    </font>
    <font>
      <sz val="13"/>
      <color theme="1"/>
      <name val="Times New Roman"/>
      <family val="1"/>
      <charset val="186"/>
    </font>
    <font>
      <sz val="16"/>
      <name val="Times New Roman"/>
      <family val="1"/>
      <charset val="186"/>
    </font>
  </fonts>
  <fills count="36">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11"/>
        <bgColor indexed="64"/>
      </patternFill>
    </fill>
    <fill>
      <patternFill patternType="solid">
        <fgColor indexed="22"/>
        <bgColor indexed="64"/>
      </patternFill>
    </fill>
    <fill>
      <patternFill patternType="solid">
        <fgColor indexed="10"/>
        <bgColor indexed="64"/>
      </patternFill>
    </fill>
    <fill>
      <patternFill patternType="solid">
        <fgColor rgb="FFCCFFFF"/>
        <bgColor indexed="64"/>
      </patternFill>
    </fill>
    <fill>
      <patternFill patternType="solid">
        <fgColor rgb="FFFFFFCC"/>
        <bgColor indexed="64"/>
      </patternFill>
    </fill>
    <fill>
      <patternFill patternType="solid">
        <fgColor theme="7" tint="0.59999389629810485"/>
        <bgColor indexed="64"/>
      </patternFill>
    </fill>
    <fill>
      <patternFill patternType="solid">
        <fgColor theme="7"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s>
  <cellStyleXfs count="161">
    <xf numFmtId="0" fontId="0" fillId="0" borderId="0"/>
    <xf numFmtId="0" fontId="5" fillId="0" borderId="0"/>
    <xf numFmtId="0" fontId="5" fillId="0" borderId="0"/>
    <xf numFmtId="0" fontId="5" fillId="0" borderId="0"/>
    <xf numFmtId="0" fontId="5" fillId="0" borderId="0"/>
    <xf numFmtId="0" fontId="6" fillId="0" borderId="0"/>
    <xf numFmtId="0" fontId="6" fillId="0" borderId="0"/>
    <xf numFmtId="0" fontId="4" fillId="0" borderId="0"/>
    <xf numFmtId="0" fontId="5" fillId="0" borderId="0"/>
    <xf numFmtId="0" fontId="5" fillId="0" borderId="0"/>
    <xf numFmtId="0" fontId="5" fillId="0" borderId="0"/>
    <xf numFmtId="0" fontId="5" fillId="0" borderId="0"/>
    <xf numFmtId="0" fontId="6" fillId="0" borderId="0"/>
    <xf numFmtId="4" fontId="16" fillId="2" borderId="1"/>
    <xf numFmtId="0" fontId="19" fillId="0" borderId="0"/>
    <xf numFmtId="0" fontId="23" fillId="0" borderId="0"/>
    <xf numFmtId="0" fontId="43" fillId="0" borderId="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7"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4" fillId="14"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21" borderId="0" applyNumberFormat="0" applyBorder="0" applyAlignment="0" applyProtection="0"/>
    <xf numFmtId="0" fontId="25" fillId="5" borderId="0" applyNumberFormat="0" applyBorder="0" applyAlignment="0" applyProtection="0"/>
    <xf numFmtId="0" fontId="26" fillId="22" borderId="2" applyNumberFormat="0" applyAlignment="0" applyProtection="0"/>
    <xf numFmtId="1" fontId="47" fillId="0" borderId="0"/>
    <xf numFmtId="0" fontId="27" fillId="23" borderId="3" applyNumberFormat="0" applyAlignment="0" applyProtection="0"/>
    <xf numFmtId="43" fontId="48" fillId="0" borderId="0" applyFont="0" applyFill="0" applyBorder="0" applyAlignment="0" applyProtection="0"/>
    <xf numFmtId="167" fontId="4" fillId="0" borderId="0" applyFont="0" applyFill="0" applyBorder="0" applyAlignment="0" applyProtection="0"/>
    <xf numFmtId="165" fontId="4" fillId="24" borderId="0" applyNumberFormat="0" applyFont="0" applyBorder="0" applyAlignment="0" applyProtection="0"/>
    <xf numFmtId="0" fontId="49" fillId="24" borderId="0"/>
    <xf numFmtId="165" fontId="50" fillId="0" borderId="0" applyBorder="0" applyAlignment="0" applyProtection="0"/>
    <xf numFmtId="0" fontId="28" fillId="0" borderId="0" applyNumberFormat="0" applyFill="0" applyBorder="0" applyAlignment="0" applyProtection="0"/>
    <xf numFmtId="165" fontId="40" fillId="25" borderId="0" applyNumberFormat="0" applyFont="0" applyBorder="0" applyAlignment="0" applyProtection="0"/>
    <xf numFmtId="0" fontId="29" fillId="6" borderId="0" applyNumberFormat="0" applyBorder="0" applyAlignment="0" applyProtection="0"/>
    <xf numFmtId="49" fontId="51" fillId="0" borderId="0" applyFill="0" applyBorder="0" applyAlignment="0" applyProtection="0">
      <alignment horizontal="left"/>
    </xf>
    <xf numFmtId="0" fontId="30" fillId="0" borderId="4" applyNumberFormat="0" applyFill="0" applyAlignment="0" applyProtection="0"/>
    <xf numFmtId="0" fontId="31" fillId="0" borderId="5" applyNumberFormat="0" applyFill="0" applyAlignment="0" applyProtection="0"/>
    <xf numFmtId="0" fontId="32" fillId="0" borderId="6" applyNumberFormat="0" applyFill="0" applyAlignment="0" applyProtection="0"/>
    <xf numFmtId="0" fontId="32" fillId="0" borderId="0" applyNumberFormat="0" applyFill="0" applyBorder="0" applyAlignment="0" applyProtection="0"/>
    <xf numFmtId="165" fontId="40" fillId="26" borderId="0" applyNumberFormat="0" applyFont="0" applyBorder="0" applyAlignment="0" applyProtection="0"/>
    <xf numFmtId="49" fontId="52" fillId="0" borderId="0" applyFill="0" applyBorder="0" applyAlignment="0" applyProtection="0"/>
    <xf numFmtId="0" fontId="53" fillId="0" borderId="0" applyFill="0" applyBorder="0" applyAlignment="0" applyProtection="0"/>
    <xf numFmtId="168" fontId="53" fillId="0" borderId="0" applyFill="0" applyBorder="0" applyAlignment="0" applyProtection="0"/>
    <xf numFmtId="169" fontId="54" fillId="0" borderId="0" applyFill="0" applyBorder="0" applyAlignment="0" applyProtection="0"/>
    <xf numFmtId="170" fontId="55" fillId="0" borderId="0" applyFill="0" applyBorder="0" applyAlignment="0" applyProtection="0"/>
    <xf numFmtId="171" fontId="55" fillId="0" borderId="0" applyFill="0" applyBorder="0" applyAlignment="0" applyProtection="0"/>
    <xf numFmtId="10" fontId="56" fillId="0" borderId="0"/>
    <xf numFmtId="0" fontId="33" fillId="9" borderId="2" applyNumberFormat="0" applyAlignment="0" applyProtection="0"/>
    <xf numFmtId="166" fontId="50" fillId="25" borderId="0"/>
    <xf numFmtId="0" fontId="34" fillId="0" borderId="7" applyNumberFormat="0" applyFill="0" applyAlignment="0" applyProtection="0"/>
    <xf numFmtId="0" fontId="35" fillId="27" borderId="0" applyNumberFormat="0" applyBorder="0" applyAlignment="0" applyProtection="0"/>
    <xf numFmtId="0" fontId="45" fillId="0" borderId="0"/>
    <xf numFmtId="0" fontId="3" fillId="0" borderId="0"/>
    <xf numFmtId="0" fontId="46" fillId="0" borderId="0"/>
    <xf numFmtId="0" fontId="4" fillId="0" borderId="0"/>
    <xf numFmtId="0" fontId="46" fillId="0" borderId="0"/>
    <xf numFmtId="0" fontId="23" fillId="0" borderId="0"/>
    <xf numFmtId="0" fontId="44" fillId="0" borderId="0"/>
    <xf numFmtId="0" fontId="45" fillId="0" borderId="0"/>
    <xf numFmtId="0" fontId="4" fillId="0" borderId="0"/>
    <xf numFmtId="0" fontId="4" fillId="0" borderId="0"/>
    <xf numFmtId="0" fontId="4" fillId="0" borderId="0"/>
    <xf numFmtId="0" fontId="4" fillId="0" borderId="0"/>
    <xf numFmtId="0" fontId="45" fillId="0" borderId="0"/>
    <xf numFmtId="0" fontId="45" fillId="0" borderId="0"/>
    <xf numFmtId="0" fontId="45" fillId="0" borderId="0"/>
    <xf numFmtId="0" fontId="45" fillId="0" borderId="0"/>
    <xf numFmtId="0" fontId="45" fillId="0" borderId="0"/>
    <xf numFmtId="0" fontId="57" fillId="0" borderId="0"/>
    <xf numFmtId="0" fontId="45" fillId="0" borderId="0"/>
    <xf numFmtId="0" fontId="45" fillId="0" borderId="0"/>
    <xf numFmtId="0" fontId="4" fillId="0" borderId="0"/>
    <xf numFmtId="0" fontId="23" fillId="28" borderId="8" applyNumberFormat="0" applyFont="0" applyAlignment="0" applyProtection="0"/>
    <xf numFmtId="0" fontId="36" fillId="22" borderId="9" applyNumberFormat="0" applyAlignment="0" applyProtection="0"/>
    <xf numFmtId="0" fontId="4" fillId="0" borderId="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165" fontId="50" fillId="29" borderId="0" applyBorder="0" applyProtection="0"/>
    <xf numFmtId="0" fontId="58"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4" fontId="42" fillId="0" borderId="1" applyNumberFormat="0" applyProtection="0">
      <alignment horizontal="right" vertical="center"/>
    </xf>
    <xf numFmtId="0" fontId="46" fillId="0" borderId="0"/>
    <xf numFmtId="4" fontId="42" fillId="0" borderId="1" applyNumberFormat="0" applyProtection="0">
      <alignment horizontal="left" wrapText="1" indent="1"/>
    </xf>
    <xf numFmtId="0" fontId="46" fillId="0" borderId="0"/>
    <xf numFmtId="0" fontId="46" fillId="0" borderId="0"/>
    <xf numFmtId="0" fontId="46" fillId="0" borderId="0"/>
    <xf numFmtId="0" fontId="59" fillId="0" borderId="0" applyNumberFormat="0" applyFill="0" applyBorder="0" applyProtection="0">
      <alignment horizontal="centerContinuous"/>
    </xf>
    <xf numFmtId="0" fontId="43" fillId="0" borderId="0"/>
    <xf numFmtId="0" fontId="43" fillId="0" borderId="0"/>
    <xf numFmtId="0" fontId="41" fillId="0" borderId="0" applyNumberFormat="0" applyFill="0" applyBorder="0" applyAlignment="0" applyProtection="0"/>
    <xf numFmtId="0" fontId="37" fillId="0" borderId="0" applyNumberFormat="0" applyFill="0" applyBorder="0" applyAlignment="0" applyProtection="0"/>
    <xf numFmtId="0" fontId="60" fillId="0" borderId="0"/>
    <xf numFmtId="0" fontId="38" fillId="0" borderId="10" applyNumberFormat="0" applyFill="0" applyAlignment="0" applyProtection="0"/>
    <xf numFmtId="165" fontId="61" fillId="30" borderId="0" applyBorder="0" applyProtection="0"/>
    <xf numFmtId="0" fontId="39" fillId="0" borderId="0" applyNumberFormat="0" applyFill="0" applyBorder="0" applyAlignment="0" applyProtection="0"/>
    <xf numFmtId="1" fontId="4" fillId="31" borderId="0"/>
    <xf numFmtId="0" fontId="2" fillId="0" borderId="0"/>
    <xf numFmtId="4" fontId="16" fillId="26" borderId="1"/>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9" fontId="6" fillId="0" borderId="0" applyFont="0" applyFill="0" applyBorder="0" applyAlignment="0" applyProtection="0"/>
  </cellStyleXfs>
  <cellXfs count="297">
    <xf numFmtId="0" fontId="0" fillId="0" borderId="0" xfId="0"/>
    <xf numFmtId="0" fontId="7" fillId="0" borderId="0" xfId="5" applyFont="1" applyAlignment="1" applyProtection="1">
      <alignment horizontal="center" vertical="center" wrapText="1"/>
      <protection locked="0"/>
    </xf>
    <xf numFmtId="0" fontId="14" fillId="0" borderId="0" xfId="5" applyFont="1" applyBorder="1" applyAlignment="1" applyProtection="1">
      <alignment horizontal="left" vertical="center"/>
      <protection locked="0"/>
    </xf>
    <xf numFmtId="0" fontId="21" fillId="0" borderId="0" xfId="5" applyFont="1" applyBorder="1" applyAlignment="1" applyProtection="1">
      <alignment horizontal="left" vertical="center"/>
      <protection locked="0"/>
    </xf>
    <xf numFmtId="0" fontId="15" fillId="0" borderId="0" xfId="5" applyFont="1" applyBorder="1" applyAlignment="1" applyProtection="1">
      <alignment horizontal="left" vertical="center"/>
      <protection locked="0"/>
    </xf>
    <xf numFmtId="0" fontId="9" fillId="0" borderId="0" xfId="5" applyFont="1" applyBorder="1" applyAlignment="1" applyProtection="1">
      <alignment horizontal="left" vertical="center"/>
      <protection locked="0"/>
    </xf>
    <xf numFmtId="0" fontId="14" fillId="0" borderId="0" xfId="0" applyFont="1" applyAlignment="1">
      <alignment horizontal="left" vertical="center"/>
    </xf>
    <xf numFmtId="0" fontId="14" fillId="0" borderId="0" xfId="0" applyNumberFormat="1" applyFont="1" applyFill="1" applyAlignment="1">
      <alignment horizontal="left" vertical="center"/>
    </xf>
    <xf numFmtId="4" fontId="20" fillId="0" borderId="0" xfId="5" applyNumberFormat="1" applyFont="1" applyBorder="1" applyAlignment="1" applyProtection="1">
      <alignment horizontal="center" vertical="center"/>
      <protection locked="0"/>
    </xf>
    <xf numFmtId="0" fontId="14" fillId="0" borderId="0" xfId="5" applyFont="1" applyBorder="1" applyAlignment="1" applyProtection="1">
      <alignment horizontal="center" vertical="center" wrapText="1"/>
      <protection locked="0"/>
    </xf>
    <xf numFmtId="0" fontId="21" fillId="0" borderId="0" xfId="5" applyFont="1" applyBorder="1" applyAlignment="1" applyProtection="1">
      <alignment horizontal="center" vertical="center"/>
      <protection locked="0"/>
    </xf>
    <xf numFmtId="0" fontId="21" fillId="0" borderId="0" xfId="5" applyFont="1" applyBorder="1" applyAlignment="1" applyProtection="1">
      <alignment horizontal="center" vertical="center" wrapText="1"/>
      <protection locked="0"/>
    </xf>
    <xf numFmtId="0" fontId="22" fillId="0" borderId="0" xfId="0" applyFont="1" applyAlignment="1">
      <alignment horizontal="center" vertical="center"/>
    </xf>
    <xf numFmtId="10" fontId="20" fillId="0" borderId="0" xfId="5" applyNumberFormat="1" applyFont="1" applyAlignment="1" applyProtection="1">
      <alignment horizontal="center" vertical="center"/>
      <protection locked="0"/>
    </xf>
    <xf numFmtId="0" fontId="20" fillId="0" borderId="0" xfId="0" applyFont="1" applyFill="1" applyAlignment="1" applyProtection="1">
      <alignment horizontal="center" vertical="center"/>
      <protection locked="0"/>
    </xf>
    <xf numFmtId="0" fontId="21" fillId="0" borderId="0" xfId="5" applyFont="1" applyBorder="1" applyAlignment="1" applyProtection="1">
      <alignment horizontal="left" vertical="center" wrapText="1"/>
      <protection locked="0"/>
    </xf>
    <xf numFmtId="0" fontId="17" fillId="0" borderId="0" xfId="0" applyFont="1" applyAlignment="1">
      <alignment vertical="center"/>
    </xf>
    <xf numFmtId="0" fontId="11" fillId="3" borderId="1" xfId="5" applyFont="1" applyFill="1" applyBorder="1" applyAlignment="1" applyProtection="1">
      <alignment horizontal="center" vertical="center" wrapText="1"/>
      <protection locked="0"/>
    </xf>
    <xf numFmtId="0" fontId="10" fillId="3" borderId="1" xfId="5" applyFont="1" applyFill="1" applyBorder="1" applyAlignment="1" applyProtection="1">
      <alignment horizontal="center" vertical="center" wrapText="1"/>
      <protection locked="0"/>
    </xf>
    <xf numFmtId="0" fontId="9" fillId="0" borderId="0" xfId="5" applyFont="1" applyBorder="1" applyAlignment="1" applyProtection="1">
      <alignment horizontal="left" vertical="center" wrapText="1"/>
      <protection locked="0"/>
    </xf>
    <xf numFmtId="0" fontId="17" fillId="0" borderId="0" xfId="0" applyFont="1" applyAlignment="1" applyProtection="1">
      <alignment vertical="center"/>
      <protection locked="0"/>
    </xf>
    <xf numFmtId="0" fontId="20" fillId="0" borderId="0" xfId="0" applyFont="1" applyFill="1" applyAlignment="1" applyProtection="1">
      <alignment vertical="center"/>
      <protection locked="0"/>
    </xf>
    <xf numFmtId="0" fontId="14" fillId="0" borderId="0" xfId="5" applyFont="1" applyBorder="1" applyAlignment="1" applyProtection="1">
      <alignment horizontal="left" vertical="center" wrapText="1"/>
      <protection locked="0"/>
    </xf>
    <xf numFmtId="0" fontId="17" fillId="0" borderId="0" xfId="0" applyFont="1" applyAlignment="1">
      <alignment horizontal="left" vertical="center"/>
    </xf>
    <xf numFmtId="0" fontId="17" fillId="0" borderId="0" xfId="0" applyFont="1" applyAlignment="1">
      <alignment vertical="center" wrapText="1"/>
    </xf>
    <xf numFmtId="0" fontId="63" fillId="0" borderId="0" xfId="0" applyFont="1" applyAlignment="1">
      <alignment horizontal="center" vertical="center"/>
    </xf>
    <xf numFmtId="0" fontId="17" fillId="0" borderId="0" xfId="0" applyFont="1" applyAlignment="1" applyProtection="1">
      <alignment vertical="center"/>
    </xf>
    <xf numFmtId="0" fontId="66" fillId="0" borderId="0" xfId="0" applyFont="1" applyAlignment="1" applyProtection="1">
      <alignment vertical="center"/>
    </xf>
    <xf numFmtId="0" fontId="62" fillId="0" borderId="0" xfId="0" applyFont="1" applyAlignment="1" applyProtection="1">
      <alignment vertical="center"/>
    </xf>
    <xf numFmtId="0" fontId="22" fillId="0" borderId="0" xfId="0" applyFont="1" applyAlignment="1" applyProtection="1">
      <alignment horizontal="center" vertical="center"/>
      <protection locked="0"/>
    </xf>
    <xf numFmtId="0" fontId="14" fillId="0" borderId="0" xfId="5" applyFont="1" applyBorder="1" applyAlignment="1" applyProtection="1">
      <alignment horizontal="left" vertical="center" wrapText="1"/>
      <protection locked="0"/>
    </xf>
    <xf numFmtId="0" fontId="65" fillId="0" borderId="0" xfId="0" applyFont="1" applyAlignment="1">
      <alignment vertical="center"/>
    </xf>
    <xf numFmtId="0" fontId="62" fillId="0" borderId="0" xfId="0" applyFont="1" applyAlignment="1">
      <alignment vertical="center"/>
    </xf>
    <xf numFmtId="0" fontId="62" fillId="0" borderId="0" xfId="0" applyFont="1" applyFill="1" applyAlignment="1" applyProtection="1">
      <alignment vertical="center"/>
    </xf>
    <xf numFmtId="0" fontId="10" fillId="32" borderId="1" xfId="5" applyFont="1" applyFill="1" applyBorder="1" applyAlignment="1" applyProtection="1">
      <alignment horizontal="center" vertical="center" wrapText="1"/>
      <protection locked="0"/>
    </xf>
    <xf numFmtId="0" fontId="8" fillId="35" borderId="1" xfId="5" applyFont="1" applyFill="1" applyBorder="1" applyAlignment="1" applyProtection="1">
      <alignment horizontal="center" vertical="center" wrapText="1"/>
    </xf>
    <xf numFmtId="3" fontId="8" fillId="35" borderId="1" xfId="5" applyNumberFormat="1" applyFont="1" applyFill="1" applyBorder="1" applyAlignment="1" applyProtection="1">
      <alignment horizontal="center" vertical="center" wrapText="1"/>
    </xf>
    <xf numFmtId="49" fontId="10" fillId="3" borderId="1" xfId="5" applyNumberFormat="1" applyFont="1" applyFill="1" applyBorder="1" applyAlignment="1" applyProtection="1">
      <alignment horizontal="center" vertical="center" wrapText="1"/>
      <protection locked="0"/>
    </xf>
    <xf numFmtId="49" fontId="11" fillId="3" borderId="1" xfId="5" applyNumberFormat="1" applyFont="1" applyFill="1" applyBorder="1" applyAlignment="1" applyProtection="1">
      <alignment horizontal="center" vertical="center" wrapText="1"/>
      <protection locked="0"/>
    </xf>
    <xf numFmtId="49" fontId="17" fillId="0" borderId="0" xfId="0" applyNumberFormat="1" applyFont="1" applyAlignment="1">
      <alignment vertical="center"/>
    </xf>
    <xf numFmtId="49" fontId="8" fillId="35" borderId="1" xfId="5" applyNumberFormat="1" applyFont="1" applyFill="1" applyBorder="1" applyAlignment="1" applyProtection="1">
      <alignment horizontal="center" vertical="center" wrapText="1"/>
    </xf>
    <xf numFmtId="49" fontId="10" fillId="33" borderId="1" xfId="5" applyNumberFormat="1" applyFont="1" applyFill="1" applyBorder="1" applyAlignment="1" applyProtection="1">
      <alignment horizontal="center" vertical="center" wrapText="1"/>
    </xf>
    <xf numFmtId="49" fontId="10" fillId="32" borderId="1" xfId="5" applyNumberFormat="1" applyFont="1" applyFill="1" applyBorder="1" applyAlignment="1" applyProtection="1">
      <alignment horizontal="center" vertical="center" wrapText="1"/>
    </xf>
    <xf numFmtId="49" fontId="17" fillId="0" borderId="0" xfId="0" applyNumberFormat="1" applyFont="1" applyAlignment="1" applyProtection="1">
      <alignment vertical="center"/>
      <protection locked="0"/>
    </xf>
    <xf numFmtId="49" fontId="14" fillId="0" borderId="0" xfId="5" applyNumberFormat="1" applyFont="1" applyBorder="1" applyAlignment="1" applyProtection="1">
      <alignment horizontal="left" vertical="center" wrapText="1"/>
      <protection locked="0"/>
    </xf>
    <xf numFmtId="49" fontId="21" fillId="0" borderId="0" xfId="5" applyNumberFormat="1" applyFont="1" applyBorder="1" applyAlignment="1" applyProtection="1">
      <alignment horizontal="left" vertical="center"/>
      <protection locked="0"/>
    </xf>
    <xf numFmtId="49" fontId="21" fillId="0" borderId="0" xfId="5" applyNumberFormat="1" applyFont="1" applyBorder="1" applyAlignment="1" applyProtection="1">
      <alignment horizontal="left" vertical="center" wrapText="1"/>
      <protection locked="0"/>
    </xf>
    <xf numFmtId="49" fontId="20" fillId="0" borderId="0" xfId="0" applyNumberFormat="1" applyFont="1" applyFill="1" applyAlignment="1" applyProtection="1">
      <alignment vertical="center"/>
      <protection locked="0"/>
    </xf>
    <xf numFmtId="0" fontId="69" fillId="0" borderId="0" xfId="0" applyFont="1" applyAlignment="1">
      <alignment horizontal="center"/>
    </xf>
    <xf numFmtId="0" fontId="70" fillId="0" borderId="0" xfId="0" applyFont="1" applyAlignment="1">
      <alignment horizontal="center" vertical="center"/>
    </xf>
    <xf numFmtId="0" fontId="69" fillId="0" borderId="0" xfId="0" applyFont="1" applyAlignment="1">
      <alignment horizontal="center" vertical="center"/>
    </xf>
    <xf numFmtId="0" fontId="69" fillId="0" borderId="0" xfId="0" applyFont="1" applyAlignment="1">
      <alignment horizontal="justify" vertical="center"/>
    </xf>
    <xf numFmtId="0" fontId="72" fillId="0" borderId="0" xfId="0" applyFont="1" applyAlignment="1">
      <alignment horizontal="left" vertical="top" wrapText="1"/>
    </xf>
    <xf numFmtId="0" fontId="73" fillId="0" borderId="0" xfId="0" applyFont="1" applyAlignment="1">
      <alignment horizontal="left" vertical="top" wrapText="1"/>
    </xf>
    <xf numFmtId="0" fontId="73" fillId="0" borderId="0" xfId="0" applyFont="1" applyAlignment="1">
      <alignment horizontal="center" vertical="top"/>
    </xf>
    <xf numFmtId="0" fontId="0" fillId="0" borderId="0" xfId="0" applyAlignment="1">
      <alignment horizontal="center"/>
    </xf>
    <xf numFmtId="0" fontId="17" fillId="0" borderId="0" xfId="0" applyFont="1" applyFill="1" applyAlignment="1">
      <alignment vertical="center"/>
    </xf>
    <xf numFmtId="3" fontId="18" fillId="33" borderId="1" xfId="5" applyNumberFormat="1" applyFont="1" applyFill="1" applyBorder="1" applyAlignment="1" applyProtection="1">
      <alignment horizontal="center" vertical="center" wrapText="1"/>
    </xf>
    <xf numFmtId="3" fontId="18" fillId="32" borderId="1" xfId="5" applyNumberFormat="1" applyFont="1" applyFill="1" applyBorder="1" applyAlignment="1" applyProtection="1">
      <alignment horizontal="center" vertical="center" wrapText="1"/>
    </xf>
    <xf numFmtId="3" fontId="18" fillId="33" borderId="1" xfId="5" applyNumberFormat="1" applyFont="1" applyFill="1" applyBorder="1" applyAlignment="1" applyProtection="1">
      <alignment horizontal="center" vertical="center" wrapText="1"/>
      <protection locked="0"/>
    </xf>
    <xf numFmtId="3" fontId="18" fillId="32" borderId="1" xfId="5" applyNumberFormat="1" applyFont="1" applyFill="1" applyBorder="1" applyAlignment="1" applyProtection="1">
      <alignment horizontal="center" vertical="center" wrapText="1"/>
      <protection locked="0"/>
    </xf>
    <xf numFmtId="3" fontId="76" fillId="0" borderId="1" xfId="5" applyNumberFormat="1" applyFont="1" applyFill="1" applyBorder="1" applyAlignment="1" applyProtection="1">
      <alignment horizontal="center" vertical="center" wrapText="1"/>
      <protection locked="0"/>
    </xf>
    <xf numFmtId="0" fontId="14" fillId="0" borderId="0" xfId="5" applyFont="1" applyBorder="1" applyAlignment="1" applyProtection="1">
      <alignment horizontal="left" vertical="center" wrapText="1"/>
      <protection locked="0"/>
    </xf>
    <xf numFmtId="3" fontId="76" fillId="0" borderId="1" xfId="0" applyNumberFormat="1" applyFont="1" applyFill="1" applyBorder="1" applyAlignment="1">
      <alignment horizontal="center" vertical="center"/>
    </xf>
    <xf numFmtId="0" fontId="14" fillId="0" borderId="0" xfId="5" applyFont="1" applyBorder="1" applyAlignment="1" applyProtection="1">
      <alignment horizontal="left" vertical="center" wrapText="1"/>
      <protection locked="0"/>
    </xf>
    <xf numFmtId="3" fontId="76" fillId="0" borderId="1" xfId="5" applyNumberFormat="1" applyFont="1" applyFill="1" applyBorder="1" applyAlignment="1" applyProtection="1">
      <alignment horizontal="center" vertical="center" wrapText="1"/>
    </xf>
    <xf numFmtId="0" fontId="14" fillId="0" borderId="0" xfId="5" applyFont="1" applyBorder="1" applyAlignment="1" applyProtection="1">
      <alignment horizontal="left" vertical="center" wrapText="1"/>
      <protection locked="0"/>
    </xf>
    <xf numFmtId="0" fontId="14" fillId="0" borderId="0" xfId="5" applyFont="1" applyBorder="1" applyAlignment="1" applyProtection="1">
      <alignment horizontal="left" vertical="center" wrapText="1"/>
      <protection locked="0"/>
    </xf>
    <xf numFmtId="0" fontId="14" fillId="0" borderId="0" xfId="5" applyFont="1" applyBorder="1" applyAlignment="1" applyProtection="1">
      <alignment horizontal="left" vertical="center" wrapText="1"/>
      <protection locked="0"/>
    </xf>
    <xf numFmtId="0" fontId="14" fillId="0" borderId="0" xfId="5" applyFont="1" applyBorder="1" applyAlignment="1" applyProtection="1">
      <alignment horizontal="left" vertical="center" wrapText="1"/>
      <protection locked="0"/>
    </xf>
    <xf numFmtId="0" fontId="67" fillId="0" borderId="0" xfId="5" applyFont="1" applyFill="1" applyAlignment="1" applyProtection="1">
      <alignment horizontal="center" vertical="center"/>
      <protection locked="0"/>
    </xf>
    <xf numFmtId="0" fontId="64" fillId="0" borderId="0" xfId="5" applyFont="1" applyFill="1" applyAlignment="1" applyProtection="1">
      <alignment horizontal="center" vertical="center"/>
      <protection locked="0"/>
    </xf>
    <xf numFmtId="3" fontId="67" fillId="0" borderId="0" xfId="5" applyNumberFormat="1" applyFont="1" applyFill="1" applyAlignment="1" applyProtection="1">
      <alignment horizontal="center" vertical="center"/>
      <protection locked="0"/>
    </xf>
    <xf numFmtId="0" fontId="14" fillId="0" borderId="0" xfId="5" applyFont="1" applyBorder="1" applyAlignment="1" applyProtection="1">
      <alignment horizontal="left" vertical="center" wrapText="1"/>
      <protection locked="0"/>
    </xf>
    <xf numFmtId="0" fontId="64" fillId="0" borderId="0" xfId="5" applyFont="1" applyFill="1" applyAlignment="1" applyProtection="1">
      <alignment horizontal="center" vertical="center"/>
      <protection locked="0"/>
    </xf>
    <xf numFmtId="0" fontId="14" fillId="0" borderId="0" xfId="5" applyFont="1" applyBorder="1" applyAlignment="1" applyProtection="1">
      <alignment horizontal="left" vertical="center" wrapText="1"/>
      <protection locked="0"/>
    </xf>
    <xf numFmtId="0" fontId="64" fillId="0" borderId="0" xfId="5" applyFont="1" applyFill="1" applyAlignment="1" applyProtection="1">
      <alignment horizontal="center" vertical="center"/>
      <protection locked="0"/>
    </xf>
    <xf numFmtId="0" fontId="14" fillId="0" borderId="0" xfId="5" applyFont="1" applyBorder="1" applyAlignment="1" applyProtection="1">
      <alignment horizontal="left" vertical="center" wrapText="1"/>
      <protection locked="0"/>
    </xf>
    <xf numFmtId="0" fontId="64" fillId="0" borderId="0" xfId="5" applyFont="1" applyFill="1" applyAlignment="1" applyProtection="1">
      <alignment horizontal="center" vertical="center"/>
      <protection locked="0"/>
    </xf>
    <xf numFmtId="0" fontId="14" fillId="0" borderId="0" xfId="5" applyFont="1" applyBorder="1" applyAlignment="1" applyProtection="1">
      <alignment horizontal="left" vertical="center" wrapText="1"/>
      <protection locked="0"/>
    </xf>
    <xf numFmtId="0" fontId="9" fillId="0" borderId="0" xfId="5" applyFont="1" applyBorder="1" applyAlignment="1" applyProtection="1">
      <alignment horizontal="left" wrapText="1"/>
      <protection locked="0"/>
    </xf>
    <xf numFmtId="4" fontId="7" fillId="0" borderId="0" xfId="5" applyNumberFormat="1" applyFont="1" applyBorder="1" applyAlignment="1" applyProtection="1">
      <alignment horizontal="right" vertical="center"/>
      <protection locked="0"/>
    </xf>
    <xf numFmtId="0" fontId="0" fillId="0" borderId="0" xfId="0" applyAlignment="1" applyProtection="1">
      <alignment vertical="top"/>
      <protection locked="0"/>
    </xf>
    <xf numFmtId="0" fontId="0" fillId="0" borderId="0" xfId="0" applyProtection="1">
      <protection locked="0"/>
    </xf>
    <xf numFmtId="0" fontId="77" fillId="0" borderId="0" xfId="0" applyFont="1" applyAlignment="1" applyProtection="1">
      <alignment vertical="top"/>
      <protection locked="0"/>
    </xf>
    <xf numFmtId="0" fontId="77" fillId="0" borderId="0" xfId="0" applyFont="1" applyProtection="1">
      <protection locked="0"/>
    </xf>
    <xf numFmtId="0" fontId="14" fillId="0" borderId="0" xfId="5" applyFont="1" applyBorder="1" applyAlignment="1" applyProtection="1">
      <alignment horizontal="left" wrapText="1"/>
      <protection locked="0"/>
    </xf>
    <xf numFmtId="0" fontId="15" fillId="0" borderId="0" xfId="5" applyFont="1" applyBorder="1" applyAlignment="1" applyProtection="1">
      <alignment horizontal="left" vertical="center" wrapText="1"/>
      <protection locked="0"/>
    </xf>
    <xf numFmtId="3" fontId="75" fillId="33" borderId="1" xfId="0" applyNumberFormat="1" applyFont="1" applyFill="1" applyBorder="1" applyAlignment="1" applyProtection="1">
      <alignment horizontal="center" vertical="center"/>
    </xf>
    <xf numFmtId="3" fontId="75" fillId="32" borderId="1" xfId="0" applyNumberFormat="1" applyFont="1" applyFill="1" applyBorder="1" applyAlignment="1" applyProtection="1">
      <alignment horizontal="center" vertical="center"/>
    </xf>
    <xf numFmtId="0" fontId="18" fillId="3" borderId="1" xfId="5" applyFont="1" applyFill="1" applyBorder="1" applyAlignment="1" applyProtection="1">
      <alignment horizontal="left" vertical="center" wrapText="1"/>
      <protection locked="0"/>
    </xf>
    <xf numFmtId="0" fontId="8" fillId="33" borderId="1" xfId="5" applyFont="1" applyFill="1" applyBorder="1" applyAlignment="1" applyProtection="1">
      <alignment horizontal="left" vertical="center" wrapText="1"/>
    </xf>
    <xf numFmtId="0" fontId="8" fillId="33" borderId="1" xfId="5" applyFont="1" applyFill="1" applyBorder="1" applyAlignment="1" applyProtection="1">
      <alignment horizontal="center" vertical="center" wrapText="1"/>
    </xf>
    <xf numFmtId="0" fontId="10" fillId="33" borderId="1" xfId="5" applyFont="1" applyFill="1" applyBorder="1" applyAlignment="1" applyProtection="1">
      <alignment horizontal="center" vertical="center" wrapText="1"/>
      <protection locked="0"/>
    </xf>
    <xf numFmtId="0" fontId="8" fillId="32" borderId="1" xfId="5" applyFont="1" applyFill="1" applyBorder="1" applyAlignment="1" applyProtection="1">
      <alignment horizontal="left" vertical="center" wrapText="1"/>
    </xf>
    <xf numFmtId="0" fontId="8" fillId="32" borderId="1" xfId="5" applyFont="1" applyFill="1" applyBorder="1" applyAlignment="1" applyProtection="1">
      <alignment horizontal="center" vertical="center" wrapText="1"/>
    </xf>
    <xf numFmtId="3" fontId="76" fillId="0" borderId="1" xfId="13" applyNumberFormat="1" applyFont="1" applyFill="1" applyBorder="1" applyAlignment="1">
      <alignment horizontal="center" vertical="center"/>
    </xf>
    <xf numFmtId="0" fontId="62" fillId="0" borderId="0" xfId="0" applyFont="1" applyFill="1" applyAlignment="1">
      <alignment vertical="center"/>
    </xf>
    <xf numFmtId="164" fontId="68" fillId="33" borderId="1" xfId="5" applyNumberFormat="1" applyFont="1" applyFill="1" applyBorder="1" applyAlignment="1" applyProtection="1">
      <alignment horizontal="center" vertical="center" wrapText="1"/>
    </xf>
    <xf numFmtId="164" fontId="68" fillId="32" borderId="1" xfId="5" applyNumberFormat="1" applyFont="1" applyFill="1" applyBorder="1" applyAlignment="1" applyProtection="1">
      <alignment horizontal="center" vertical="center" wrapText="1"/>
    </xf>
    <xf numFmtId="164" fontId="68" fillId="0" borderId="1" xfId="5" applyNumberFormat="1" applyFont="1" applyFill="1" applyBorder="1" applyAlignment="1" applyProtection="1">
      <alignment horizontal="center" vertical="center" wrapText="1"/>
    </xf>
    <xf numFmtId="3" fontId="8" fillId="35" borderId="11" xfId="5" applyNumberFormat="1" applyFont="1" applyFill="1" applyBorder="1" applyAlignment="1" applyProtection="1">
      <alignment horizontal="center" vertical="center" wrapText="1"/>
    </xf>
    <xf numFmtId="3" fontId="76" fillId="0" borderId="11" xfId="5" applyNumberFormat="1" applyFont="1" applyFill="1" applyBorder="1" applyAlignment="1" applyProtection="1">
      <alignment horizontal="center" vertical="center" wrapText="1"/>
      <protection locked="0"/>
    </xf>
    <xf numFmtId="3" fontId="76" fillId="0" borderId="11" xfId="5" applyNumberFormat="1" applyFont="1" applyFill="1" applyBorder="1" applyAlignment="1" applyProtection="1">
      <alignment horizontal="center" vertical="center" wrapText="1"/>
    </xf>
    <xf numFmtId="3" fontId="18" fillId="32" borderId="11" xfId="5" applyNumberFormat="1" applyFont="1" applyFill="1" applyBorder="1" applyAlignment="1" applyProtection="1">
      <alignment horizontal="center" vertical="center" wrapText="1"/>
    </xf>
    <xf numFmtId="3" fontId="18" fillId="33" borderId="11" xfId="5" applyNumberFormat="1" applyFont="1" applyFill="1" applyBorder="1" applyAlignment="1" applyProtection="1">
      <alignment horizontal="center" vertical="center" wrapText="1"/>
      <protection locked="0"/>
    </xf>
    <xf numFmtId="3" fontId="18" fillId="33" borderId="11" xfId="5" applyNumberFormat="1" applyFont="1" applyFill="1" applyBorder="1" applyAlignment="1" applyProtection="1">
      <alignment horizontal="center" vertical="center" wrapText="1"/>
    </xf>
    <xf numFmtId="3" fontId="18" fillId="32" borderId="11" xfId="5" applyNumberFormat="1" applyFont="1" applyFill="1" applyBorder="1" applyAlignment="1" applyProtection="1">
      <alignment horizontal="center" vertical="center" wrapText="1"/>
      <protection locked="0"/>
    </xf>
    <xf numFmtId="3" fontId="76" fillId="0" borderId="26" xfId="5" applyNumberFormat="1" applyFont="1" applyFill="1" applyBorder="1" applyAlignment="1" applyProtection="1">
      <alignment horizontal="center" vertical="center" wrapText="1"/>
      <protection locked="0"/>
    </xf>
    <xf numFmtId="3" fontId="76" fillId="0" borderId="27" xfId="5" applyNumberFormat="1" applyFont="1" applyFill="1" applyBorder="1" applyAlignment="1" applyProtection="1">
      <alignment horizontal="center" vertical="center" wrapText="1"/>
      <protection locked="0"/>
    </xf>
    <xf numFmtId="3" fontId="76" fillId="0" borderId="26" xfId="5" applyNumberFormat="1" applyFont="1" applyFill="1" applyBorder="1" applyAlignment="1" applyProtection="1">
      <alignment horizontal="center" vertical="center" wrapText="1"/>
    </xf>
    <xf numFmtId="3" fontId="76" fillId="0" borderId="27" xfId="5" applyNumberFormat="1" applyFont="1" applyFill="1" applyBorder="1" applyAlignment="1" applyProtection="1">
      <alignment horizontal="center" vertical="center" wrapText="1"/>
    </xf>
    <xf numFmtId="3" fontId="18" fillId="32" borderId="26" xfId="5" applyNumberFormat="1" applyFont="1" applyFill="1" applyBorder="1" applyAlignment="1" applyProtection="1">
      <alignment horizontal="center" vertical="center" wrapText="1"/>
    </xf>
    <xf numFmtId="3" fontId="18" fillId="32" borderId="27" xfId="5" applyNumberFormat="1" applyFont="1" applyFill="1" applyBorder="1" applyAlignment="1" applyProtection="1">
      <alignment horizontal="center" vertical="center" wrapText="1"/>
    </xf>
    <xf numFmtId="3" fontId="18" fillId="33" borderId="26" xfId="5" applyNumberFormat="1" applyFont="1" applyFill="1" applyBorder="1" applyAlignment="1" applyProtection="1">
      <alignment horizontal="center" vertical="center" wrapText="1"/>
      <protection locked="0"/>
    </xf>
    <xf numFmtId="3" fontId="18" fillId="33" borderId="27" xfId="5" applyNumberFormat="1" applyFont="1" applyFill="1" applyBorder="1" applyAlignment="1" applyProtection="1">
      <alignment horizontal="center" vertical="center" wrapText="1"/>
      <protection locked="0"/>
    </xf>
    <xf numFmtId="3" fontId="18" fillId="33" borderId="26" xfId="5" applyNumberFormat="1" applyFont="1" applyFill="1" applyBorder="1" applyAlignment="1" applyProtection="1">
      <alignment horizontal="center" vertical="center" wrapText="1"/>
    </xf>
    <xf numFmtId="3" fontId="18" fillId="33" borderId="27" xfId="5" applyNumberFormat="1" applyFont="1" applyFill="1" applyBorder="1" applyAlignment="1" applyProtection="1">
      <alignment horizontal="center" vertical="center" wrapText="1"/>
    </xf>
    <xf numFmtId="3" fontId="18" fillId="32" borderId="26" xfId="5" applyNumberFormat="1" applyFont="1" applyFill="1" applyBorder="1" applyAlignment="1" applyProtection="1">
      <alignment horizontal="center" vertical="center" wrapText="1"/>
      <protection locked="0"/>
    </xf>
    <xf numFmtId="3" fontId="18" fillId="32" borderId="27" xfId="5" applyNumberFormat="1" applyFont="1" applyFill="1" applyBorder="1" applyAlignment="1" applyProtection="1">
      <alignment horizontal="center" vertical="center" wrapText="1"/>
      <protection locked="0"/>
    </xf>
    <xf numFmtId="3" fontId="76" fillId="0" borderId="12" xfId="5" applyNumberFormat="1" applyFont="1" applyFill="1" applyBorder="1" applyAlignment="1" applyProtection="1">
      <alignment horizontal="center" vertical="center" wrapText="1"/>
      <protection locked="0"/>
    </xf>
    <xf numFmtId="3" fontId="18" fillId="32" borderId="12" xfId="5" applyNumberFormat="1" applyFont="1" applyFill="1" applyBorder="1" applyAlignment="1" applyProtection="1">
      <alignment horizontal="center" vertical="center" wrapText="1"/>
      <protection locked="0"/>
    </xf>
    <xf numFmtId="3" fontId="76" fillId="0" borderId="12" xfId="5" applyNumberFormat="1" applyFont="1" applyFill="1" applyBorder="1" applyAlignment="1" applyProtection="1">
      <alignment horizontal="center" vertical="center" wrapText="1"/>
    </xf>
    <xf numFmtId="3" fontId="18" fillId="33" borderId="12" xfId="5" applyNumberFormat="1" applyFont="1" applyFill="1" applyBorder="1" applyAlignment="1" applyProtection="1">
      <alignment horizontal="center" vertical="center" wrapText="1"/>
      <protection locked="0"/>
    </xf>
    <xf numFmtId="3" fontId="18" fillId="32" borderId="12" xfId="5" applyNumberFormat="1" applyFont="1" applyFill="1" applyBorder="1" applyAlignment="1" applyProtection="1">
      <alignment horizontal="center" vertical="center" wrapText="1"/>
    </xf>
    <xf numFmtId="3" fontId="18" fillId="33" borderId="12" xfId="5" applyNumberFormat="1" applyFont="1" applyFill="1" applyBorder="1" applyAlignment="1" applyProtection="1">
      <alignment horizontal="center" vertical="center" wrapText="1"/>
    </xf>
    <xf numFmtId="3" fontId="8" fillId="35" borderId="27" xfId="5" applyNumberFormat="1" applyFont="1" applyFill="1" applyBorder="1" applyAlignment="1" applyProtection="1">
      <alignment horizontal="center" vertical="center" wrapText="1"/>
    </xf>
    <xf numFmtId="3" fontId="75" fillId="33" borderId="27" xfId="0" applyNumberFormat="1" applyFont="1" applyFill="1" applyBorder="1" applyAlignment="1" applyProtection="1">
      <alignment horizontal="center" vertical="center"/>
    </xf>
    <xf numFmtId="3" fontId="75" fillId="32" borderId="27" xfId="0" applyNumberFormat="1" applyFont="1" applyFill="1" applyBorder="1" applyAlignment="1" applyProtection="1">
      <alignment horizontal="center" vertical="center"/>
    </xf>
    <xf numFmtId="3" fontId="75" fillId="33" borderId="26" xfId="0" applyNumberFormat="1" applyFont="1" applyFill="1" applyBorder="1" applyAlignment="1" applyProtection="1">
      <alignment horizontal="center" vertical="center"/>
    </xf>
    <xf numFmtId="3" fontId="75" fillId="32" borderId="26" xfId="0" applyNumberFormat="1" applyFont="1" applyFill="1" applyBorder="1" applyAlignment="1" applyProtection="1">
      <alignment horizontal="center" vertical="center"/>
    </xf>
    <xf numFmtId="3" fontId="76" fillId="0" borderId="26" xfId="0" applyNumberFormat="1" applyFont="1" applyFill="1" applyBorder="1" applyAlignment="1">
      <alignment horizontal="center" vertical="center"/>
    </xf>
    <xf numFmtId="3" fontId="76" fillId="0" borderId="27" xfId="0" applyNumberFormat="1" applyFont="1" applyFill="1" applyBorder="1" applyAlignment="1">
      <alignment horizontal="center" vertical="center"/>
    </xf>
    <xf numFmtId="3" fontId="75" fillId="34" borderId="12" xfId="5" applyNumberFormat="1" applyFont="1" applyFill="1" applyBorder="1" applyAlignment="1" applyProtection="1">
      <alignment horizontal="center" vertical="center" wrapText="1"/>
    </xf>
    <xf numFmtId="3" fontId="75" fillId="33" borderId="12" xfId="5" applyNumberFormat="1" applyFont="1" applyFill="1" applyBorder="1" applyAlignment="1" applyProtection="1">
      <alignment horizontal="center" vertical="center" wrapText="1"/>
    </xf>
    <xf numFmtId="3" fontId="75" fillId="32" borderId="12" xfId="5" applyNumberFormat="1" applyFont="1" applyFill="1" applyBorder="1" applyAlignment="1" applyProtection="1">
      <alignment horizontal="center" vertical="center" wrapText="1"/>
    </xf>
    <xf numFmtId="3" fontId="76" fillId="33" borderId="1" xfId="5" applyNumberFormat="1" applyFont="1" applyFill="1" applyBorder="1" applyAlignment="1" applyProtection="1">
      <alignment horizontal="center" vertical="center" wrapText="1"/>
      <protection locked="0"/>
    </xf>
    <xf numFmtId="3" fontId="76" fillId="32" borderId="1" xfId="5" applyNumberFormat="1" applyFont="1" applyFill="1" applyBorder="1" applyAlignment="1" applyProtection="1">
      <alignment horizontal="center" vertical="center" wrapText="1"/>
      <protection locked="0"/>
    </xf>
    <xf numFmtId="3" fontId="18" fillId="0" borderId="1" xfId="5" applyNumberFormat="1" applyFont="1" applyFill="1" applyBorder="1" applyAlignment="1" applyProtection="1">
      <alignment horizontal="center" vertical="center" wrapText="1"/>
      <protection locked="0"/>
    </xf>
    <xf numFmtId="3" fontId="18" fillId="32" borderId="1" xfId="0" applyNumberFormat="1" applyFont="1" applyFill="1" applyBorder="1" applyAlignment="1" applyProtection="1">
      <alignment horizontal="center" vertical="center"/>
    </xf>
    <xf numFmtId="3" fontId="76" fillId="0" borderId="1" xfId="0" applyNumberFormat="1" applyFont="1" applyFill="1" applyBorder="1" applyAlignment="1" applyProtection="1">
      <alignment horizontal="center" vertical="center"/>
    </xf>
    <xf numFmtId="0" fontId="64" fillId="0" borderId="0" xfId="5" applyFont="1" applyFill="1" applyAlignment="1" applyProtection="1">
      <alignment horizontal="center" vertical="center"/>
      <protection locked="0"/>
    </xf>
    <xf numFmtId="3" fontId="18" fillId="33" borderId="13" xfId="5" applyNumberFormat="1" applyFont="1" applyFill="1" applyBorder="1" applyAlignment="1" applyProtection="1">
      <alignment horizontal="center" vertical="center" wrapText="1"/>
      <protection locked="0"/>
    </xf>
    <xf numFmtId="3" fontId="18" fillId="32" borderId="13" xfId="5" applyNumberFormat="1" applyFont="1" applyFill="1" applyBorder="1" applyAlignment="1" applyProtection="1">
      <alignment horizontal="center" vertical="center" wrapText="1"/>
      <protection locked="0"/>
    </xf>
    <xf numFmtId="3" fontId="76" fillId="0" borderId="13" xfId="5" applyNumberFormat="1" applyFont="1" applyFill="1" applyBorder="1" applyAlignment="1" applyProtection="1">
      <alignment horizontal="center" vertical="center" wrapText="1"/>
      <protection locked="0"/>
    </xf>
    <xf numFmtId="3" fontId="76" fillId="0" borderId="13" xfId="5" applyNumberFormat="1" applyFont="1" applyFill="1" applyBorder="1" applyAlignment="1" applyProtection="1">
      <alignment horizontal="center" vertical="center" wrapText="1"/>
    </xf>
    <xf numFmtId="3" fontId="18" fillId="32" borderId="13" xfId="5" applyNumberFormat="1" applyFont="1" applyFill="1" applyBorder="1" applyAlignment="1" applyProtection="1">
      <alignment horizontal="center" vertical="center" wrapText="1"/>
    </xf>
    <xf numFmtId="3" fontId="18" fillId="33" borderId="13" xfId="5" applyNumberFormat="1" applyFont="1" applyFill="1" applyBorder="1" applyAlignment="1" applyProtection="1">
      <alignment horizontal="center" vertical="center" wrapText="1"/>
    </xf>
    <xf numFmtId="3" fontId="76" fillId="0" borderId="21" xfId="5" applyNumberFormat="1" applyFont="1" applyFill="1" applyBorder="1" applyAlignment="1" applyProtection="1">
      <alignment horizontal="center" vertical="center" wrapText="1"/>
      <protection locked="0"/>
    </xf>
    <xf numFmtId="3" fontId="76" fillId="0" borderId="21" xfId="5" applyNumberFormat="1" applyFont="1" applyFill="1" applyBorder="1" applyAlignment="1" applyProtection="1">
      <alignment horizontal="center" vertical="center" wrapText="1"/>
    </xf>
    <xf numFmtId="3" fontId="18" fillId="32" borderId="21" xfId="5" applyNumberFormat="1" applyFont="1" applyFill="1" applyBorder="1" applyAlignment="1" applyProtection="1">
      <alignment horizontal="center" vertical="center" wrapText="1"/>
    </xf>
    <xf numFmtId="3" fontId="18" fillId="33" borderId="21" xfId="5" applyNumberFormat="1" applyFont="1" applyFill="1" applyBorder="1" applyAlignment="1" applyProtection="1">
      <alignment horizontal="center" vertical="center" wrapText="1"/>
    </xf>
    <xf numFmtId="10" fontId="75" fillId="33" borderId="11" xfId="160" applyNumberFormat="1" applyFont="1" applyFill="1" applyBorder="1" applyAlignment="1" applyProtection="1">
      <alignment horizontal="center" vertical="center" wrapText="1"/>
      <protection locked="0"/>
    </xf>
    <xf numFmtId="10" fontId="75" fillId="32" borderId="11" xfId="160" applyNumberFormat="1" applyFont="1" applyFill="1" applyBorder="1" applyAlignment="1" applyProtection="1">
      <alignment horizontal="center" vertical="center" wrapText="1"/>
      <protection locked="0"/>
    </xf>
    <xf numFmtId="10" fontId="18" fillId="33" borderId="11" xfId="160" applyNumberFormat="1" applyFont="1" applyFill="1" applyBorder="1" applyAlignment="1" applyProtection="1">
      <alignment horizontal="center" vertical="center" wrapText="1"/>
      <protection locked="0"/>
    </xf>
    <xf numFmtId="10" fontId="18" fillId="32" borderId="11" xfId="160" applyNumberFormat="1" applyFont="1" applyFill="1" applyBorder="1" applyAlignment="1" applyProtection="1">
      <alignment horizontal="center" vertical="center" wrapText="1"/>
      <protection locked="0"/>
    </xf>
    <xf numFmtId="10" fontId="18" fillId="33" borderId="11" xfId="160" applyNumberFormat="1" applyFont="1" applyFill="1" applyBorder="1" applyAlignment="1" applyProtection="1">
      <alignment horizontal="center" vertical="center" wrapText="1"/>
    </xf>
    <xf numFmtId="10" fontId="18" fillId="32" borderId="11" xfId="160" applyNumberFormat="1" applyFont="1" applyFill="1" applyBorder="1" applyAlignment="1" applyProtection="1">
      <alignment horizontal="center" vertical="center" wrapText="1"/>
    </xf>
    <xf numFmtId="3" fontId="8" fillId="35" borderId="12" xfId="5" applyNumberFormat="1" applyFont="1" applyFill="1" applyBorder="1" applyAlignment="1" applyProtection="1">
      <alignment horizontal="center" vertical="center" wrapText="1"/>
    </xf>
    <xf numFmtId="164" fontId="75" fillId="33" borderId="1" xfId="5" applyNumberFormat="1" applyFont="1" applyFill="1" applyBorder="1" applyAlignment="1" applyProtection="1">
      <alignment horizontal="center" vertical="center" wrapText="1"/>
    </xf>
    <xf numFmtId="164" fontId="75" fillId="34" borderId="1" xfId="5" applyNumberFormat="1" applyFont="1" applyFill="1" applyBorder="1" applyAlignment="1" applyProtection="1">
      <alignment horizontal="center" vertical="center" wrapText="1"/>
    </xf>
    <xf numFmtId="164" fontId="81" fillId="0" borderId="1" xfId="160" applyNumberFormat="1" applyFont="1" applyFill="1" applyBorder="1" applyAlignment="1" applyProtection="1">
      <alignment horizontal="center" vertical="center" wrapText="1"/>
      <protection locked="0"/>
    </xf>
    <xf numFmtId="164" fontId="81" fillId="0" borderId="1" xfId="0" applyNumberFormat="1" applyFont="1" applyFill="1" applyBorder="1" applyAlignment="1" applyProtection="1">
      <alignment horizontal="center" vertical="center"/>
    </xf>
    <xf numFmtId="3" fontId="76" fillId="0" borderId="20" xfId="5" applyNumberFormat="1" applyFont="1" applyFill="1" applyBorder="1" applyAlignment="1" applyProtection="1">
      <alignment horizontal="center" vertical="center" wrapText="1"/>
      <protection locked="0"/>
    </xf>
    <xf numFmtId="3" fontId="76" fillId="33" borderId="12" xfId="5" applyNumberFormat="1" applyFont="1" applyFill="1" applyBorder="1" applyAlignment="1" applyProtection="1">
      <alignment horizontal="center" vertical="center" wrapText="1"/>
      <protection locked="0"/>
    </xf>
    <xf numFmtId="3" fontId="18" fillId="32" borderId="20" xfId="5" applyNumberFormat="1" applyFont="1" applyFill="1" applyBorder="1" applyAlignment="1" applyProtection="1">
      <alignment horizontal="center" vertical="center" wrapText="1"/>
      <protection locked="0"/>
    </xf>
    <xf numFmtId="3" fontId="18" fillId="33" borderId="20" xfId="5" applyNumberFormat="1" applyFont="1" applyFill="1" applyBorder="1" applyAlignment="1" applyProtection="1">
      <alignment horizontal="center" vertical="center" wrapText="1"/>
    </xf>
    <xf numFmtId="0" fontId="13" fillId="33" borderId="1" xfId="5" applyFont="1" applyFill="1" applyBorder="1" applyAlignment="1" applyProtection="1">
      <alignment horizontal="left" vertical="center" wrapText="1"/>
    </xf>
    <xf numFmtId="0" fontId="13" fillId="33" borderId="1" xfId="5" applyFont="1" applyFill="1" applyBorder="1" applyAlignment="1" applyProtection="1">
      <alignment horizontal="center" vertical="center" wrapText="1"/>
    </xf>
    <xf numFmtId="49" fontId="18" fillId="33" borderId="1" xfId="5" applyNumberFormat="1" applyFont="1" applyFill="1" applyBorder="1" applyAlignment="1" applyProtection="1">
      <alignment horizontal="center" vertical="center" wrapText="1"/>
    </xf>
    <xf numFmtId="0" fontId="18" fillId="33" borderId="1" xfId="5" applyFont="1" applyFill="1" applyBorder="1" applyAlignment="1" applyProtection="1">
      <alignment horizontal="center" vertical="center" wrapText="1"/>
      <protection locked="0"/>
    </xf>
    <xf numFmtId="0" fontId="13" fillId="32" borderId="1" xfId="5" applyFont="1" applyFill="1" applyBorder="1" applyAlignment="1" applyProtection="1">
      <alignment horizontal="left" vertical="center" wrapText="1"/>
    </xf>
    <xf numFmtId="0" fontId="13" fillId="32" borderId="1" xfId="5" applyFont="1" applyFill="1" applyBorder="1" applyAlignment="1" applyProtection="1">
      <alignment horizontal="center" vertical="center" wrapText="1"/>
    </xf>
    <xf numFmtId="49" fontId="18" fillId="32" borderId="1" xfId="5" applyNumberFormat="1" applyFont="1" applyFill="1" applyBorder="1" applyAlignment="1" applyProtection="1">
      <alignment horizontal="center" vertical="center" wrapText="1"/>
    </xf>
    <xf numFmtId="0" fontId="18" fillId="32" borderId="1" xfId="5" applyFont="1" applyFill="1" applyBorder="1" applyAlignment="1" applyProtection="1">
      <alignment horizontal="center" vertical="center" wrapText="1"/>
      <protection locked="0"/>
    </xf>
    <xf numFmtId="164" fontId="75" fillId="32" borderId="1" xfId="5" applyNumberFormat="1" applyFont="1" applyFill="1" applyBorder="1" applyAlignment="1" applyProtection="1">
      <alignment horizontal="center" vertical="center" wrapText="1"/>
    </xf>
    <xf numFmtId="0" fontId="20" fillId="0" borderId="1" xfId="5" applyFont="1" applyFill="1" applyBorder="1" applyAlignment="1" applyProtection="1">
      <alignment horizontal="left" vertical="center" wrapText="1"/>
    </xf>
    <xf numFmtId="0" fontId="20" fillId="0" borderId="1" xfId="5" applyFont="1" applyFill="1" applyBorder="1" applyAlignment="1" applyProtection="1">
      <alignment horizontal="center" vertical="center" wrapText="1"/>
    </xf>
    <xf numFmtId="49" fontId="76" fillId="0" borderId="1" xfId="5" applyNumberFormat="1" applyFont="1" applyFill="1" applyBorder="1" applyAlignment="1" applyProtection="1">
      <alignment horizontal="center" vertical="center" wrapText="1"/>
    </xf>
    <xf numFmtId="0" fontId="76" fillId="0" borderId="1" xfId="5" applyFont="1" applyFill="1" applyBorder="1" applyAlignment="1" applyProtection="1">
      <alignment horizontal="center" vertical="center" wrapText="1"/>
      <protection locked="0"/>
    </xf>
    <xf numFmtId="10" fontId="76" fillId="0" borderId="11" xfId="160" applyNumberFormat="1" applyFont="1" applyFill="1" applyBorder="1" applyAlignment="1" applyProtection="1">
      <alignment horizontal="center" vertical="center" wrapText="1"/>
    </xf>
    <xf numFmtId="164" fontId="81" fillId="0" borderId="1" xfId="5" applyNumberFormat="1" applyFont="1" applyFill="1" applyBorder="1" applyAlignment="1" applyProtection="1">
      <alignment horizontal="center" vertical="center" wrapText="1"/>
    </xf>
    <xf numFmtId="0" fontId="20" fillId="0" borderId="1" xfId="5" applyFont="1" applyFill="1" applyBorder="1" applyAlignment="1" applyProtection="1">
      <alignment horizontal="center" vertical="center" wrapText="1"/>
      <protection locked="0"/>
    </xf>
    <xf numFmtId="0" fontId="20" fillId="0" borderId="1" xfId="5" applyFont="1" applyFill="1" applyBorder="1" applyAlignment="1" applyProtection="1">
      <alignment horizontal="left" vertical="center" wrapText="1"/>
      <protection locked="0"/>
    </xf>
    <xf numFmtId="0" fontId="20" fillId="3" borderId="1" xfId="5" applyFont="1" applyFill="1" applyBorder="1" applyAlignment="1" applyProtection="1">
      <alignment horizontal="left" vertical="center" wrapText="1"/>
      <protection locked="0"/>
    </xf>
    <xf numFmtId="0" fontId="20" fillId="3" borderId="1" xfId="5" applyFont="1" applyFill="1" applyBorder="1" applyAlignment="1" applyProtection="1">
      <alignment horizontal="center" vertical="center" wrapText="1"/>
      <protection locked="0"/>
    </xf>
    <xf numFmtId="49" fontId="76" fillId="3" borderId="1" xfId="5" applyNumberFormat="1" applyFont="1" applyFill="1" applyBorder="1" applyAlignment="1" applyProtection="1">
      <alignment horizontal="center" vertical="center" wrapText="1"/>
    </xf>
    <xf numFmtId="0" fontId="76" fillId="3" borderId="1" xfId="5" applyFont="1" applyFill="1" applyBorder="1" applyAlignment="1" applyProtection="1">
      <alignment horizontal="center" vertical="center" wrapText="1"/>
      <protection locked="0"/>
    </xf>
    <xf numFmtId="3" fontId="76" fillId="0" borderId="20" xfId="5" applyNumberFormat="1" applyFont="1" applyFill="1" applyBorder="1" applyAlignment="1" applyProtection="1">
      <alignment horizontal="center" vertical="center" wrapText="1"/>
    </xf>
    <xf numFmtId="3" fontId="18" fillId="32" borderId="20" xfId="5" applyNumberFormat="1" applyFont="1" applyFill="1" applyBorder="1" applyAlignment="1" applyProtection="1">
      <alignment horizontal="center" vertical="center" wrapText="1"/>
    </xf>
    <xf numFmtId="3" fontId="18" fillId="32" borderId="27" xfId="0" applyNumberFormat="1" applyFont="1" applyFill="1" applyBorder="1" applyAlignment="1" applyProtection="1">
      <alignment horizontal="center" vertical="center"/>
    </xf>
    <xf numFmtId="0" fontId="75" fillId="34" borderId="1" xfId="5" applyFont="1" applyFill="1" applyBorder="1" applyAlignment="1" applyProtection="1">
      <alignment horizontal="left" vertical="center" wrapText="1"/>
    </xf>
    <xf numFmtId="0" fontId="75" fillId="34" borderId="1" xfId="5" applyFont="1" applyFill="1" applyBorder="1" applyAlignment="1" applyProtection="1">
      <alignment horizontal="center" vertical="center" wrapText="1"/>
    </xf>
    <xf numFmtId="49" fontId="75" fillId="34" borderId="1" xfId="5" applyNumberFormat="1" applyFont="1" applyFill="1" applyBorder="1" applyAlignment="1" applyProtection="1">
      <alignment horizontal="center" vertical="center" wrapText="1"/>
    </xf>
    <xf numFmtId="3" fontId="75" fillId="34" borderId="1" xfId="5" applyNumberFormat="1" applyFont="1" applyFill="1" applyBorder="1" applyAlignment="1" applyProtection="1">
      <alignment horizontal="center" vertical="center" wrapText="1"/>
    </xf>
    <xf numFmtId="3" fontId="75" fillId="34" borderId="27" xfId="5" applyNumberFormat="1" applyFont="1" applyFill="1" applyBorder="1" applyAlignment="1" applyProtection="1">
      <alignment horizontal="center" vertical="center" wrapText="1"/>
    </xf>
    <xf numFmtId="0" fontId="18" fillId="33" borderId="1" xfId="5" applyFont="1" applyFill="1" applyBorder="1" applyAlignment="1" applyProtection="1">
      <alignment horizontal="center" vertical="center" wrapText="1"/>
    </xf>
    <xf numFmtId="0" fontId="18" fillId="32" borderId="1" xfId="5" applyFont="1" applyFill="1" applyBorder="1" applyAlignment="1" applyProtection="1">
      <alignment horizontal="center" vertical="center" wrapText="1"/>
    </xf>
    <xf numFmtId="10" fontId="81" fillId="0" borderId="11" xfId="160" applyNumberFormat="1" applyFont="1" applyFill="1" applyBorder="1" applyAlignment="1" applyProtection="1">
      <alignment horizontal="center" vertical="center" wrapText="1"/>
      <protection locked="0"/>
    </xf>
    <xf numFmtId="0" fontId="76" fillId="0" borderId="1" xfId="5" applyFont="1" applyFill="1" applyBorder="1" applyAlignment="1" applyProtection="1">
      <alignment horizontal="center" vertical="center" wrapText="1"/>
    </xf>
    <xf numFmtId="10" fontId="76" fillId="0" borderId="11" xfId="160" applyNumberFormat="1" applyFont="1" applyFill="1" applyBorder="1" applyAlignment="1" applyProtection="1">
      <alignment horizontal="center" vertical="center" wrapText="1"/>
      <protection locked="0"/>
    </xf>
    <xf numFmtId="0" fontId="82" fillId="0" borderId="1" xfId="5" applyFont="1" applyFill="1" applyBorder="1" applyAlignment="1" applyProtection="1">
      <alignment horizontal="left" vertical="center" wrapText="1"/>
      <protection locked="0"/>
    </xf>
    <xf numFmtId="0" fontId="82" fillId="0" borderId="1" xfId="5" applyFont="1" applyFill="1" applyBorder="1" applyAlignment="1" applyProtection="1">
      <alignment horizontal="center" vertical="center" wrapText="1"/>
      <protection locked="0"/>
    </xf>
    <xf numFmtId="0" fontId="14" fillId="0" borderId="0" xfId="0" applyFont="1" applyAlignment="1" applyProtection="1">
      <alignment vertical="center"/>
      <protection locked="0"/>
    </xf>
    <xf numFmtId="0" fontId="18" fillId="33" borderId="11" xfId="5" applyFont="1" applyFill="1" applyBorder="1" applyAlignment="1" applyProtection="1">
      <alignment horizontal="center" vertical="center" wrapText="1"/>
      <protection locked="0"/>
    </xf>
    <xf numFmtId="0" fontId="18" fillId="32" borderId="11" xfId="5" applyFont="1" applyFill="1" applyBorder="1" applyAlignment="1" applyProtection="1">
      <alignment horizontal="center" vertical="center" wrapText="1"/>
      <protection locked="0"/>
    </xf>
    <xf numFmtId="10" fontId="18" fillId="32" borderId="13" xfId="160" applyNumberFormat="1" applyFont="1" applyFill="1" applyBorder="1" applyAlignment="1" applyProtection="1">
      <alignment horizontal="center" vertical="center" wrapText="1"/>
      <protection locked="0"/>
    </xf>
    <xf numFmtId="0" fontId="18" fillId="33" borderId="11" xfId="5" applyFont="1" applyFill="1" applyBorder="1" applyAlignment="1" applyProtection="1">
      <alignment horizontal="center" vertical="center" wrapText="1"/>
    </xf>
    <xf numFmtId="10" fontId="18" fillId="32" borderId="13" xfId="160" applyNumberFormat="1" applyFont="1" applyFill="1" applyBorder="1" applyAlignment="1" applyProtection="1">
      <alignment horizontal="center" vertical="center" wrapText="1"/>
    </xf>
    <xf numFmtId="3" fontId="18" fillId="0" borderId="13" xfId="5" applyNumberFormat="1" applyFont="1" applyFill="1" applyBorder="1" applyAlignment="1" applyProtection="1">
      <alignment horizontal="center" vertical="center" wrapText="1"/>
    </xf>
    <xf numFmtId="3" fontId="8" fillId="35" borderId="26" xfId="5" applyNumberFormat="1" applyFont="1" applyFill="1" applyBorder="1" applyAlignment="1" applyProtection="1">
      <alignment horizontal="center" vertical="center" wrapText="1"/>
    </xf>
    <xf numFmtId="3" fontId="13" fillId="35" borderId="26" xfId="5" applyNumberFormat="1" applyFont="1" applyFill="1" applyBorder="1" applyAlignment="1" applyProtection="1">
      <alignment horizontal="center" vertical="center" wrapText="1"/>
    </xf>
    <xf numFmtId="3" fontId="13" fillId="35" borderId="27" xfId="5" applyNumberFormat="1" applyFont="1" applyFill="1" applyBorder="1" applyAlignment="1" applyProtection="1">
      <alignment horizontal="center" vertical="center" wrapText="1"/>
    </xf>
    <xf numFmtId="0" fontId="64" fillId="0" borderId="0" xfId="5" applyFont="1" applyFill="1" applyAlignment="1" applyProtection="1">
      <alignment vertical="center"/>
      <protection locked="0"/>
    </xf>
    <xf numFmtId="0" fontId="67" fillId="0" borderId="17" xfId="5" applyFont="1" applyFill="1" applyBorder="1" applyAlignment="1" applyProtection="1">
      <alignment vertical="center"/>
      <protection locked="0"/>
    </xf>
    <xf numFmtId="0" fontId="14" fillId="0" borderId="0" xfId="5" applyFont="1" applyBorder="1" applyAlignment="1" applyProtection="1">
      <alignment horizontal="left" vertical="center" wrapText="1"/>
      <protection locked="0"/>
    </xf>
    <xf numFmtId="0" fontId="64" fillId="0" borderId="0" xfId="5" applyFont="1" applyFill="1" applyAlignment="1" applyProtection="1">
      <alignment horizontal="center" vertical="center"/>
      <protection locked="0"/>
    </xf>
    <xf numFmtId="0" fontId="15" fillId="0" borderId="0" xfId="5" applyFont="1" applyBorder="1" applyAlignment="1" applyProtection="1">
      <alignment horizontal="left" vertical="center" wrapText="1"/>
      <protection locked="0"/>
    </xf>
    <xf numFmtId="0" fontId="14" fillId="0" borderId="0" xfId="5" applyFont="1" applyBorder="1" applyAlignment="1" applyProtection="1">
      <alignment horizontal="left" vertical="center" wrapText="1"/>
      <protection locked="0"/>
    </xf>
    <xf numFmtId="10" fontId="75" fillId="34" borderId="11" xfId="160" applyNumberFormat="1" applyFont="1" applyFill="1" applyBorder="1" applyAlignment="1" applyProtection="1">
      <alignment horizontal="center" vertical="center" wrapText="1"/>
      <protection locked="0"/>
    </xf>
    <xf numFmtId="3" fontId="76" fillId="0" borderId="26" xfId="160" applyNumberFormat="1" applyFont="1" applyFill="1" applyBorder="1" applyAlignment="1" applyProtection="1">
      <alignment horizontal="center" vertical="center" wrapText="1"/>
      <protection locked="0"/>
    </xf>
    <xf numFmtId="3" fontId="76" fillId="0" borderId="26" xfId="160" applyNumberFormat="1" applyFont="1" applyFill="1" applyBorder="1" applyAlignment="1" applyProtection="1">
      <alignment horizontal="center" vertical="center" wrapText="1"/>
    </xf>
    <xf numFmtId="3" fontId="18" fillId="34" borderId="26" xfId="5" applyNumberFormat="1" applyFont="1" applyFill="1" applyBorder="1" applyAlignment="1" applyProtection="1">
      <alignment horizontal="center" vertical="center" wrapText="1"/>
    </xf>
    <xf numFmtId="3" fontId="13" fillId="35" borderId="12" xfId="5" applyNumberFormat="1" applyFont="1" applyFill="1" applyBorder="1" applyAlignment="1" applyProtection="1">
      <alignment horizontal="center" vertical="center" wrapText="1"/>
    </xf>
    <xf numFmtId="3" fontId="13" fillId="35" borderId="1" xfId="5" applyNumberFormat="1" applyFont="1" applyFill="1" applyBorder="1" applyAlignment="1" applyProtection="1">
      <alignment horizontal="center" vertical="center" wrapText="1"/>
    </xf>
    <xf numFmtId="3" fontId="75" fillId="34" borderId="11" xfId="5" applyNumberFormat="1" applyFont="1" applyFill="1" applyBorder="1" applyAlignment="1" applyProtection="1">
      <alignment horizontal="center" vertical="center" wrapText="1"/>
    </xf>
    <xf numFmtId="3" fontId="76" fillId="32" borderId="11" xfId="5" applyNumberFormat="1" applyFont="1" applyFill="1" applyBorder="1" applyAlignment="1" applyProtection="1">
      <alignment horizontal="center" vertical="center" wrapText="1"/>
      <protection locked="0"/>
    </xf>
    <xf numFmtId="0" fontId="8" fillId="35" borderId="26" xfId="5" applyFont="1" applyFill="1" applyBorder="1" applyAlignment="1" applyProtection="1">
      <alignment horizontal="center" vertical="center" wrapText="1"/>
    </xf>
    <xf numFmtId="0" fontId="75" fillId="34" borderId="26" xfId="5" applyFont="1" applyFill="1" applyBorder="1" applyAlignment="1" applyProtection="1">
      <alignment horizontal="left" vertical="center" wrapText="1"/>
    </xf>
    <xf numFmtId="164" fontId="75" fillId="34" borderId="27" xfId="5" applyNumberFormat="1" applyFont="1" applyFill="1" applyBorder="1" applyAlignment="1" applyProtection="1">
      <alignment horizontal="center" vertical="center" wrapText="1"/>
    </xf>
    <xf numFmtId="0" fontId="13" fillId="33" borderId="26" xfId="5" applyFont="1" applyFill="1" applyBorder="1" applyAlignment="1" applyProtection="1">
      <alignment horizontal="left" vertical="center" wrapText="1"/>
    </xf>
    <xf numFmtId="164" fontId="75" fillId="33" borderId="27" xfId="5" applyNumberFormat="1" applyFont="1" applyFill="1" applyBorder="1" applyAlignment="1" applyProtection="1">
      <alignment horizontal="center" vertical="center" wrapText="1"/>
    </xf>
    <xf numFmtId="0" fontId="13" fillId="32" borderId="26" xfId="5" applyFont="1" applyFill="1" applyBorder="1" applyAlignment="1" applyProtection="1">
      <alignment horizontal="left" vertical="center" wrapText="1"/>
    </xf>
    <xf numFmtId="3" fontId="75" fillId="32" borderId="27" xfId="5" applyNumberFormat="1" applyFont="1" applyFill="1" applyBorder="1" applyAlignment="1" applyProtection="1">
      <alignment horizontal="center" vertical="center" wrapText="1"/>
    </xf>
    <xf numFmtId="0" fontId="20" fillId="0" borderId="26" xfId="5" applyFont="1" applyFill="1" applyBorder="1" applyAlignment="1" applyProtection="1">
      <alignment horizontal="left" vertical="center" wrapText="1"/>
      <protection locked="0"/>
    </xf>
    <xf numFmtId="3" fontId="81" fillId="0" borderId="27" xfId="5" applyNumberFormat="1" applyFont="1" applyFill="1" applyBorder="1" applyAlignment="1" applyProtection="1">
      <alignment horizontal="center" vertical="center" wrapText="1"/>
    </xf>
    <xf numFmtId="0" fontId="20" fillId="0" borderId="26" xfId="5" applyFont="1" applyFill="1" applyBorder="1" applyAlignment="1" applyProtection="1">
      <alignment horizontal="left" vertical="center" wrapText="1"/>
    </xf>
    <xf numFmtId="164" fontId="18" fillId="33" borderId="27" xfId="5" applyNumberFormat="1" applyFont="1" applyFill="1" applyBorder="1" applyAlignment="1" applyProtection="1">
      <alignment horizontal="center" vertical="center" wrapText="1"/>
      <protection locked="0"/>
    </xf>
    <xf numFmtId="164" fontId="18" fillId="33" borderId="27" xfId="5" applyNumberFormat="1" applyFont="1" applyFill="1" applyBorder="1" applyAlignment="1" applyProtection="1">
      <alignment horizontal="center" vertical="center" wrapText="1"/>
    </xf>
    <xf numFmtId="0" fontId="82" fillId="0" borderId="26" xfId="5" applyFont="1" applyFill="1" applyBorder="1" applyAlignment="1" applyProtection="1">
      <alignment horizontal="left" vertical="center" wrapText="1"/>
      <protection locked="0"/>
    </xf>
    <xf numFmtId="0" fontId="8" fillId="32" borderId="26" xfId="5" applyFont="1" applyFill="1" applyBorder="1" applyAlignment="1" applyProtection="1">
      <alignment horizontal="left" vertical="center" wrapText="1"/>
    </xf>
    <xf numFmtId="0" fontId="8" fillId="33" borderId="26" xfId="5" applyFont="1" applyFill="1" applyBorder="1" applyAlignment="1" applyProtection="1">
      <alignment horizontal="left" vertical="center" wrapText="1"/>
    </xf>
    <xf numFmtId="0" fontId="79" fillId="3" borderId="26" xfId="5" applyFont="1" applyFill="1" applyBorder="1" applyAlignment="1" applyProtection="1">
      <alignment horizontal="left" vertical="center" wrapText="1"/>
      <protection locked="0"/>
    </xf>
    <xf numFmtId="0" fontId="80" fillId="3" borderId="26" xfId="5" applyFont="1" applyFill="1" applyBorder="1" applyAlignment="1" applyProtection="1">
      <alignment horizontal="left" vertical="center" wrapText="1"/>
      <protection locked="0"/>
    </xf>
    <xf numFmtId="0" fontId="14" fillId="0" borderId="0" xfId="5" applyFont="1" applyBorder="1" applyAlignment="1" applyProtection="1">
      <alignment horizontal="left" vertical="center" wrapText="1"/>
      <protection locked="0"/>
    </xf>
    <xf numFmtId="0" fontId="14" fillId="0" borderId="0" xfId="5" applyFont="1" applyBorder="1" applyAlignment="1" applyProtection="1">
      <alignment horizontal="left" vertical="center" wrapText="1"/>
      <protection locked="0"/>
    </xf>
    <xf numFmtId="0" fontId="15" fillId="0" borderId="0" xfId="5" applyFont="1" applyBorder="1" applyAlignment="1" applyProtection="1">
      <alignment horizontal="left" vertical="center" wrapText="1"/>
      <protection locked="0"/>
    </xf>
    <xf numFmtId="3" fontId="75" fillId="34" borderId="20" xfId="5" applyNumberFormat="1" applyFont="1" applyFill="1" applyBorder="1" applyAlignment="1" applyProtection="1">
      <alignment horizontal="center" vertical="center" wrapText="1"/>
    </xf>
    <xf numFmtId="3" fontId="18" fillId="33" borderId="20" xfId="5" applyNumberFormat="1" applyFont="1" applyFill="1" applyBorder="1" applyAlignment="1" applyProtection="1">
      <alignment horizontal="center" vertical="center" wrapText="1"/>
      <protection locked="0"/>
    </xf>
    <xf numFmtId="164" fontId="75" fillId="0" borderId="1" xfId="5" applyNumberFormat="1" applyFont="1" applyFill="1" applyBorder="1" applyAlignment="1" applyProtection="1">
      <alignment horizontal="center" vertical="center" wrapText="1"/>
    </xf>
    <xf numFmtId="3" fontId="13" fillId="35" borderId="20" xfId="5" applyNumberFormat="1" applyFont="1" applyFill="1" applyBorder="1" applyAlignment="1" applyProtection="1">
      <alignment horizontal="center" vertical="center" wrapText="1"/>
      <protection locked="0"/>
    </xf>
    <xf numFmtId="3" fontId="13" fillId="35" borderId="13" xfId="5" applyNumberFormat="1" applyFont="1" applyFill="1" applyBorder="1" applyAlignment="1" applyProtection="1">
      <alignment horizontal="center" vertical="center" wrapText="1"/>
      <protection locked="0"/>
    </xf>
    <xf numFmtId="3" fontId="13" fillId="35" borderId="21" xfId="5" applyNumberFormat="1" applyFont="1" applyFill="1" applyBorder="1" applyAlignment="1" applyProtection="1">
      <alignment horizontal="center" vertical="center" wrapText="1"/>
      <protection locked="0"/>
    </xf>
    <xf numFmtId="3" fontId="13" fillId="35" borderId="22" xfId="5" applyNumberFormat="1" applyFont="1" applyFill="1" applyBorder="1" applyAlignment="1" applyProtection="1">
      <alignment horizontal="center" vertical="center" wrapText="1"/>
    </xf>
    <xf numFmtId="3" fontId="13" fillId="35" borderId="24" xfId="5" applyNumberFormat="1" applyFont="1" applyFill="1" applyBorder="1" applyAlignment="1" applyProtection="1">
      <alignment horizontal="center" vertical="center" wrapText="1"/>
    </xf>
    <xf numFmtId="3" fontId="13" fillId="35" borderId="14" xfId="5" applyNumberFormat="1" applyFont="1" applyFill="1" applyBorder="1" applyAlignment="1" applyProtection="1">
      <alignment horizontal="center" vertical="center" wrapText="1"/>
    </xf>
    <xf numFmtId="3" fontId="13" fillId="35" borderId="16" xfId="5" applyNumberFormat="1" applyFont="1" applyFill="1" applyBorder="1" applyAlignment="1" applyProtection="1">
      <alignment horizontal="center" vertical="center" wrapText="1"/>
    </xf>
    <xf numFmtId="3" fontId="13" fillId="35" borderId="26" xfId="5" applyNumberFormat="1" applyFont="1" applyFill="1" applyBorder="1" applyAlignment="1" applyProtection="1">
      <alignment horizontal="center" vertical="center" wrapText="1"/>
      <protection locked="0"/>
    </xf>
    <xf numFmtId="3" fontId="13" fillId="35" borderId="1" xfId="5" applyNumberFormat="1" applyFont="1" applyFill="1" applyBorder="1" applyAlignment="1" applyProtection="1">
      <alignment horizontal="center" vertical="center" wrapText="1"/>
      <protection locked="0"/>
    </xf>
    <xf numFmtId="3" fontId="13" fillId="35" borderId="27" xfId="5" applyNumberFormat="1" applyFont="1" applyFill="1" applyBorder="1" applyAlignment="1" applyProtection="1">
      <alignment horizontal="center" vertical="center" wrapText="1"/>
      <protection locked="0"/>
    </xf>
    <xf numFmtId="3" fontId="13" fillId="35" borderId="23" xfId="5" applyNumberFormat="1" applyFont="1" applyFill="1" applyBorder="1" applyAlignment="1" applyProtection="1">
      <alignment horizontal="center" vertical="center" wrapText="1"/>
    </xf>
    <xf numFmtId="3" fontId="13" fillId="35" borderId="25" xfId="5" applyNumberFormat="1" applyFont="1" applyFill="1" applyBorder="1" applyAlignment="1" applyProtection="1">
      <alignment horizontal="center" vertical="center" wrapText="1"/>
    </xf>
    <xf numFmtId="0" fontId="14" fillId="0" borderId="0" xfId="5" applyFont="1" applyBorder="1" applyAlignment="1" applyProtection="1">
      <alignment horizontal="left" vertical="center" wrapText="1"/>
      <protection locked="0"/>
    </xf>
    <xf numFmtId="3" fontId="13" fillId="35" borderId="28" xfId="5" applyNumberFormat="1" applyFont="1" applyFill="1" applyBorder="1" applyAlignment="1" applyProtection="1">
      <alignment horizontal="center" vertical="center" wrapText="1"/>
    </xf>
    <xf numFmtId="3" fontId="13" fillId="35" borderId="29" xfId="5" applyNumberFormat="1" applyFont="1" applyFill="1" applyBorder="1" applyAlignment="1" applyProtection="1">
      <alignment horizontal="center" vertical="center" wrapText="1"/>
    </xf>
    <xf numFmtId="3" fontId="13" fillId="35" borderId="18" xfId="5" applyNumberFormat="1" applyFont="1" applyFill="1" applyBorder="1" applyAlignment="1" applyProtection="1">
      <alignment horizontal="center" vertical="center" wrapText="1"/>
    </xf>
    <xf numFmtId="3" fontId="13" fillId="35" borderId="19" xfId="5" applyNumberFormat="1" applyFont="1" applyFill="1" applyBorder="1" applyAlignment="1" applyProtection="1">
      <alignment horizontal="center" vertical="center" wrapText="1"/>
    </xf>
    <xf numFmtId="3" fontId="13" fillId="35" borderId="1" xfId="5" applyNumberFormat="1" applyFont="1" applyFill="1" applyBorder="1" applyAlignment="1" applyProtection="1">
      <alignment horizontal="center" vertical="center" wrapText="1"/>
    </xf>
    <xf numFmtId="0" fontId="15" fillId="0" borderId="0" xfId="5" applyFont="1" applyBorder="1" applyAlignment="1" applyProtection="1">
      <alignment horizontal="left" vertical="center" wrapText="1"/>
      <protection locked="0"/>
    </xf>
    <xf numFmtId="0" fontId="64" fillId="0" borderId="0" xfId="5" applyFont="1" applyFill="1" applyAlignment="1" applyProtection="1">
      <alignment horizontal="center" vertical="center"/>
      <protection locked="0"/>
    </xf>
    <xf numFmtId="3" fontId="13" fillId="35" borderId="13" xfId="5" applyNumberFormat="1" applyFont="1" applyFill="1" applyBorder="1" applyAlignment="1" applyProtection="1">
      <alignment horizontal="center" vertical="center" wrapText="1"/>
    </xf>
    <xf numFmtId="3" fontId="13" fillId="35" borderId="12" xfId="5" applyNumberFormat="1" applyFont="1" applyFill="1" applyBorder="1" applyAlignment="1" applyProtection="1">
      <alignment horizontal="center" vertical="center" wrapText="1"/>
    </xf>
    <xf numFmtId="3" fontId="13" fillId="35" borderId="11" xfId="5" applyNumberFormat="1" applyFont="1" applyFill="1" applyBorder="1" applyAlignment="1" applyProtection="1">
      <alignment horizontal="center" vertical="center" wrapText="1"/>
    </xf>
    <xf numFmtId="0" fontId="8" fillId="35" borderId="22" xfId="5" applyFont="1" applyFill="1" applyBorder="1" applyAlignment="1" applyProtection="1">
      <alignment horizontal="center" vertical="center" wrapText="1"/>
    </xf>
    <xf numFmtId="0" fontId="8" fillId="35" borderId="34" xfId="5" applyFont="1" applyFill="1" applyBorder="1" applyAlignment="1" applyProtection="1">
      <alignment horizontal="center" vertical="center" wrapText="1"/>
    </xf>
    <xf numFmtId="0" fontId="8" fillId="35" borderId="24" xfId="5" applyFont="1" applyFill="1" applyBorder="1" applyAlignment="1" applyProtection="1">
      <alignment horizontal="center" vertical="center" wrapText="1"/>
    </xf>
    <xf numFmtId="0" fontId="8" fillId="35" borderId="14" xfId="5" applyFont="1" applyFill="1" applyBorder="1" applyAlignment="1" applyProtection="1">
      <alignment horizontal="center" vertical="center" wrapText="1"/>
    </xf>
    <xf numFmtId="0" fontId="8" fillId="35" borderId="15" xfId="5" applyFont="1" applyFill="1" applyBorder="1" applyAlignment="1" applyProtection="1">
      <alignment horizontal="center" vertical="center" wrapText="1"/>
    </xf>
    <xf numFmtId="0" fontId="8" fillId="35" borderId="16" xfId="5" applyFont="1" applyFill="1" applyBorder="1" applyAlignment="1" applyProtection="1">
      <alignment horizontal="center" vertical="center" wrapText="1"/>
    </xf>
    <xf numFmtId="0" fontId="13" fillId="35" borderId="13" xfId="0" applyFont="1" applyFill="1" applyBorder="1" applyAlignment="1">
      <alignment horizontal="center" vertical="center" wrapText="1"/>
    </xf>
    <xf numFmtId="0" fontId="13" fillId="35" borderId="21" xfId="0" applyFont="1" applyFill="1" applyBorder="1" applyAlignment="1">
      <alignment horizontal="center" vertical="center" wrapText="1"/>
    </xf>
    <xf numFmtId="0" fontId="13" fillId="35" borderId="15" xfId="5" applyFont="1" applyFill="1" applyBorder="1" applyAlignment="1" applyProtection="1">
      <alignment horizontal="center" vertical="center" wrapText="1"/>
    </xf>
    <xf numFmtId="0" fontId="13" fillId="35" borderId="16" xfId="5" applyFont="1" applyFill="1" applyBorder="1" applyAlignment="1" applyProtection="1">
      <alignment horizontal="center" vertical="center" wrapText="1"/>
    </xf>
    <xf numFmtId="0" fontId="13" fillId="35" borderId="30" xfId="5" applyFont="1" applyFill="1" applyBorder="1" applyAlignment="1" applyProtection="1">
      <alignment horizontal="center" vertical="center" wrapText="1"/>
    </xf>
    <xf numFmtId="0" fontId="13" fillId="35" borderId="19" xfId="5" applyFont="1" applyFill="1" applyBorder="1" applyAlignment="1" applyProtection="1">
      <alignment horizontal="center" vertical="center" wrapText="1"/>
    </xf>
    <xf numFmtId="0" fontId="13" fillId="35" borderId="18" xfId="0" applyFont="1" applyFill="1" applyBorder="1" applyAlignment="1">
      <alignment horizontal="center" vertical="center" wrapText="1"/>
    </xf>
    <xf numFmtId="0" fontId="13" fillId="35" borderId="30" xfId="0" applyFont="1" applyFill="1" applyBorder="1" applyAlignment="1">
      <alignment horizontal="center" vertical="center" wrapText="1"/>
    </xf>
    <xf numFmtId="0" fontId="13" fillId="35" borderId="19" xfId="0" applyFont="1" applyFill="1" applyBorder="1" applyAlignment="1">
      <alignment horizontal="center" vertical="center" wrapText="1"/>
    </xf>
    <xf numFmtId="0" fontId="13" fillId="35" borderId="11" xfId="0" applyFont="1" applyFill="1" applyBorder="1" applyAlignment="1">
      <alignment horizontal="center" vertical="center" wrapText="1"/>
    </xf>
    <xf numFmtId="3" fontId="13" fillId="35" borderId="32" xfId="0" applyNumberFormat="1" applyFont="1" applyFill="1" applyBorder="1" applyAlignment="1">
      <alignment horizontal="center" vertical="center" wrapText="1"/>
    </xf>
    <xf numFmtId="3" fontId="13" fillId="35" borderId="31" xfId="0" applyNumberFormat="1" applyFont="1" applyFill="1" applyBorder="1" applyAlignment="1">
      <alignment horizontal="center" vertical="center" wrapText="1"/>
    </xf>
    <xf numFmtId="3" fontId="13" fillId="35" borderId="33" xfId="0" applyNumberFormat="1" applyFont="1" applyFill="1" applyBorder="1" applyAlignment="1">
      <alignment horizontal="center" vertical="center" wrapText="1"/>
    </xf>
    <xf numFmtId="0" fontId="13" fillId="35" borderId="22" xfId="0" applyFont="1" applyFill="1" applyBorder="1" applyAlignment="1">
      <alignment horizontal="center" vertical="center" wrapText="1"/>
    </xf>
    <xf numFmtId="0" fontId="13" fillId="35" borderId="24" xfId="0" applyFont="1" applyFill="1" applyBorder="1" applyAlignment="1">
      <alignment horizontal="center" vertical="center" wrapText="1"/>
    </xf>
    <xf numFmtId="0" fontId="72" fillId="0" borderId="0" xfId="0" applyFont="1" applyAlignment="1">
      <alignment horizontal="center"/>
    </xf>
    <xf numFmtId="0" fontId="83" fillId="0" borderId="0" xfId="0" applyFont="1" applyFill="1" applyAlignment="1">
      <alignment horizontal="center" vertical="center"/>
    </xf>
    <xf numFmtId="3" fontId="67" fillId="0" borderId="17" xfId="5" applyNumberFormat="1" applyFont="1" applyFill="1" applyBorder="1" applyAlignment="1" applyProtection="1">
      <alignment horizontal="center" vertical="center"/>
      <protection locked="0"/>
    </xf>
  </cellXfs>
  <cellStyles count="161">
    <cellStyle name=" 1" xfId="16"/>
    <cellStyle name="20% - Accent1 2" xfId="17"/>
    <cellStyle name="20% - Accent2 2" xfId="18"/>
    <cellStyle name="20% - Accent3 2" xfId="19"/>
    <cellStyle name="20% - Accent4 2" xfId="20"/>
    <cellStyle name="20% - Accent5 2" xfId="21"/>
    <cellStyle name="20% - Accent6 2" xfId="22"/>
    <cellStyle name="40% - Accent1 2" xfId="23"/>
    <cellStyle name="40% - Accent2 2" xfId="24"/>
    <cellStyle name="40% - Accent3 2" xfId="25"/>
    <cellStyle name="40% - Accent4 2" xfId="26"/>
    <cellStyle name="40% - Accent5 2" xfId="27"/>
    <cellStyle name="40% - Accent6 2" xfId="28"/>
    <cellStyle name="60% - Accent1 2" xfId="29"/>
    <cellStyle name="60% - Accent2 2" xfId="30"/>
    <cellStyle name="60% - Accent3 2" xfId="31"/>
    <cellStyle name="60% - Accent4 2" xfId="32"/>
    <cellStyle name="60% - Accent5 2" xfId="33"/>
    <cellStyle name="60% - Accent6 2" xfId="34"/>
    <cellStyle name="Accent1 2" xfId="35"/>
    <cellStyle name="Accent2 2" xfId="36"/>
    <cellStyle name="Accent3 2" xfId="37"/>
    <cellStyle name="Accent4 2" xfId="38"/>
    <cellStyle name="Accent5 2" xfId="39"/>
    <cellStyle name="Accent6 2" xfId="40"/>
    <cellStyle name="Aktivitāte" xfId="13"/>
    <cellStyle name="Aktivitāte 2" xfId="149"/>
    <cellStyle name="Bad 2" xfId="41"/>
    <cellStyle name="Calculation 2" xfId="42"/>
    <cellStyle name="Check" xfId="43"/>
    <cellStyle name="Check Cell 2" xfId="44"/>
    <cellStyle name="Comma 2" xfId="45"/>
    <cellStyle name="Currency 2" xfId="46"/>
    <cellStyle name="Data" xfId="47"/>
    <cellStyle name="estimation" xfId="48"/>
    <cellStyle name="exo" xfId="49"/>
    <cellStyle name="Explanatory Text 2" xfId="50"/>
    <cellStyle name="Forecast" xfId="51"/>
    <cellStyle name="Good 2" xfId="52"/>
    <cellStyle name="Head1" xfId="53"/>
    <cellStyle name="Heading 1 2" xfId="54"/>
    <cellStyle name="Heading 2 2" xfId="55"/>
    <cellStyle name="Heading 3 2" xfId="56"/>
    <cellStyle name="Heading 4 2" xfId="57"/>
    <cellStyle name="Historical" xfId="58"/>
    <cellStyle name="Indent0" xfId="59"/>
    <cellStyle name="Indent1" xfId="60"/>
    <cellStyle name="Indent2" xfId="61"/>
    <cellStyle name="Indent3" xfId="62"/>
    <cellStyle name="Indent4" xfId="63"/>
    <cellStyle name="Indent5" xfId="64"/>
    <cellStyle name="info" xfId="65"/>
    <cellStyle name="Input 2" xfId="66"/>
    <cellStyle name="Koefic." xfId="67"/>
    <cellStyle name="Linked Cell 2" xfId="68"/>
    <cellStyle name="Neutral 2" xfId="69"/>
    <cellStyle name="Normal" xfId="0" builtinId="0"/>
    <cellStyle name="Normal 10" xfId="1"/>
    <cellStyle name="Normal 10 2" xfId="151"/>
    <cellStyle name="Normal 11" xfId="15"/>
    <cellStyle name="Normal 12" xfId="2"/>
    <cellStyle name="Normal 12 2" xfId="152"/>
    <cellStyle name="Normal 13" xfId="148"/>
    <cellStyle name="Normal 13 2" xfId="159"/>
    <cellStyle name="Normal 14" xfId="3"/>
    <cellStyle name="Normal 14 2" xfId="153"/>
    <cellStyle name="Normal 15" xfId="4"/>
    <cellStyle name="Normal 15 2" xfId="70"/>
    <cellStyle name="Normal 15 3" xfId="154"/>
    <cellStyle name="Normal 2" xfId="14"/>
    <cellStyle name="Normal 2 2" xfId="5"/>
    <cellStyle name="Normal 2 2 10" xfId="72"/>
    <cellStyle name="Normal 2 3" xfId="6"/>
    <cellStyle name="Normal 2 3 2" xfId="73"/>
    <cellStyle name="Normal 2 4" xfId="74"/>
    <cellStyle name="Normal 2 5" xfId="71"/>
    <cellStyle name="Normal 2 5 2" xfId="158"/>
    <cellStyle name="Normal 2_RAPLM KOPSAVILKUMS_precizets" xfId="75"/>
    <cellStyle name="Normal 3" xfId="12"/>
    <cellStyle name="Normal 3 2" xfId="76"/>
    <cellStyle name="Normal 30" xfId="77"/>
    <cellStyle name="Normal 30 3" xfId="78"/>
    <cellStyle name="Normal 30 4" xfId="79"/>
    <cellStyle name="Normal 30 8" xfId="80"/>
    <cellStyle name="Normal 30 9" xfId="81"/>
    <cellStyle name="Normal 39" xfId="82"/>
    <cellStyle name="Normal 4" xfId="7"/>
    <cellStyle name="Normal 4 2" xfId="83"/>
    <cellStyle name="Normal 40" xfId="84"/>
    <cellStyle name="Normal 44" xfId="85"/>
    <cellStyle name="Normal 5" xfId="8"/>
    <cellStyle name="Normal 5 2" xfId="86"/>
    <cellStyle name="Normal 5 3" xfId="155"/>
    <cellStyle name="Normal 6" xfId="9"/>
    <cellStyle name="Normal 6 2" xfId="87"/>
    <cellStyle name="Normal 6 3" xfId="156"/>
    <cellStyle name="Normal 7" xfId="10"/>
    <cellStyle name="Normal 7 2" xfId="88"/>
    <cellStyle name="Normal 7 3" xfId="157"/>
    <cellStyle name="Normal 8" xfId="89"/>
    <cellStyle name="Normal 9" xfId="11"/>
    <cellStyle name="Normal 9 2" xfId="90"/>
    <cellStyle name="Note 2" xfId="91"/>
    <cellStyle name="Output 2" xfId="92"/>
    <cellStyle name="Parastais_Registrs" xfId="93"/>
    <cellStyle name="Percent" xfId="160" builtinId="5"/>
    <cellStyle name="Percent 2" xfId="95"/>
    <cellStyle name="Percent 2 2" xfId="96"/>
    <cellStyle name="Percent 2 3" xfId="150"/>
    <cellStyle name="Percent 3" xfId="94"/>
    <cellStyle name="Pie??m." xfId="97"/>
    <cellStyle name="residual" xfId="98"/>
    <cellStyle name="SAPBEXaggData" xfId="99"/>
    <cellStyle name="SAPBEXaggDataEmph" xfId="100"/>
    <cellStyle name="SAPBEXaggItem" xfId="101"/>
    <cellStyle name="SAPBEXaggItemX" xfId="102"/>
    <cellStyle name="SAPBEXchaText" xfId="103"/>
    <cellStyle name="SAPBEXexcBad7" xfId="104"/>
    <cellStyle name="SAPBEXexcBad8" xfId="105"/>
    <cellStyle name="SAPBEXexcBad9" xfId="106"/>
    <cellStyle name="SAPBEXexcCritical4" xfId="107"/>
    <cellStyle name="SAPBEXexcCritical5" xfId="108"/>
    <cellStyle name="SAPBEXexcCritical6" xfId="109"/>
    <cellStyle name="SAPBEXexcGood1" xfId="110"/>
    <cellStyle name="SAPBEXexcGood2" xfId="111"/>
    <cellStyle name="SAPBEXexcGood3" xfId="112"/>
    <cellStyle name="SAPBEXfilterDrill" xfId="113"/>
    <cellStyle name="SAPBEXfilterItem" xfId="114"/>
    <cellStyle name="SAPBEXfilterText" xfId="115"/>
    <cellStyle name="SAPBEXformats" xfId="116"/>
    <cellStyle name="SAPBEXheaderItem" xfId="117"/>
    <cellStyle name="SAPBEXheaderText" xfId="118"/>
    <cellStyle name="SAPBEXHLevel0" xfId="119"/>
    <cellStyle name="SAPBEXHLevel0X" xfId="120"/>
    <cellStyle name="SAPBEXHLevel1" xfId="121"/>
    <cellStyle name="SAPBEXHLevel1X" xfId="122"/>
    <cellStyle name="SAPBEXHLevel2" xfId="123"/>
    <cellStyle name="SAPBEXHLevel2X" xfId="124"/>
    <cellStyle name="SAPBEXHLevel3" xfId="125"/>
    <cellStyle name="SAPBEXHLevel3X" xfId="126"/>
    <cellStyle name="SAPBEXinputData" xfId="127"/>
    <cellStyle name="SAPBEXresData" xfId="128"/>
    <cellStyle name="SAPBEXresDataEmph" xfId="129"/>
    <cellStyle name="SAPBEXresItem" xfId="130"/>
    <cellStyle name="SAPBEXresItemX" xfId="131"/>
    <cellStyle name="SAPBEXstdData" xfId="132"/>
    <cellStyle name="SAPBEXstdDataEmph" xfId="133"/>
    <cellStyle name="SAPBEXstdItem" xfId="134"/>
    <cellStyle name="SAPBEXstdItemX" xfId="135"/>
    <cellStyle name="SAPBEXtitle" xfId="136"/>
    <cellStyle name="SAPBEXundefined" xfId="137"/>
    <cellStyle name="Sce_Title" xfId="138"/>
    <cellStyle name="Stils 1" xfId="139"/>
    <cellStyle name="Style 1" xfId="140"/>
    <cellStyle name="Sub-title" xfId="141"/>
    <cellStyle name="Title 2" xfId="143"/>
    <cellStyle name="Title 3" xfId="142"/>
    <cellStyle name="Total 2" xfId="144"/>
    <cellStyle name="V?st." xfId="145"/>
    <cellStyle name="Warning Text 2" xfId="146"/>
    <cellStyle name="Years" xfId="147"/>
  </cellStyles>
  <dxfs count="0"/>
  <tableStyles count="0" defaultTableStyle="TableStyleMedium9" defaultPivotStyle="PivotStyleLight16"/>
  <colors>
    <mruColors>
      <color rgb="FF00FFFF"/>
      <color rgb="FFCCFFFF"/>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56"/>
  <sheetViews>
    <sheetView tabSelected="1" view="pageBreakPreview" zoomScale="40" zoomScaleNormal="40" zoomScaleSheetLayoutView="40" workbookViewId="0">
      <pane ySplit="8" topLeftCell="A9" activePane="bottomLeft" state="frozen"/>
      <selection pane="bottomLeft" activeCell="O9" sqref="O9"/>
    </sheetView>
  </sheetViews>
  <sheetFormatPr defaultColWidth="9.140625" defaultRowHeight="15" outlineLevelRow="1" outlineLevelCol="1"/>
  <cols>
    <col min="1" max="1" width="17.140625" style="23" customWidth="1"/>
    <col min="2" max="2" width="48" style="24" customWidth="1"/>
    <col min="3" max="3" width="17.140625" style="16" customWidth="1"/>
    <col min="4" max="4" width="14.7109375" style="16" customWidth="1"/>
    <col min="5" max="5" width="15.5703125" style="39" customWidth="1"/>
    <col min="6" max="6" width="14" style="16" customWidth="1"/>
    <col min="7" max="7" width="23.42578125" style="16" customWidth="1"/>
    <col min="8" max="9" width="23" style="16" customWidth="1"/>
    <col min="10" max="10" width="31.28515625" style="16" customWidth="1"/>
    <col min="11" max="12" width="22.85546875" style="12" customWidth="1"/>
    <col min="13" max="13" width="15.7109375" style="12" customWidth="1"/>
    <col min="14" max="15" width="20.140625" style="12" customWidth="1"/>
    <col min="16" max="16" width="25" style="12" customWidth="1"/>
    <col min="17" max="17" width="31.42578125" style="12" customWidth="1"/>
    <col min="18" max="18" width="21.42578125" style="12" customWidth="1"/>
    <col min="19" max="19" width="23" style="12" customWidth="1"/>
    <col min="20" max="20" width="15.42578125" style="12" customWidth="1"/>
    <col min="21" max="21" width="22.7109375" style="12" bestFit="1" customWidth="1"/>
    <col min="22" max="22" width="15.7109375" style="12" customWidth="1"/>
    <col min="23" max="24" width="22.85546875" style="12" customWidth="1"/>
    <col min="25" max="25" width="21.5703125" style="12" customWidth="1"/>
    <col min="26" max="26" width="23" style="12" hidden="1" customWidth="1" outlineLevel="1"/>
    <col min="27" max="27" width="31" style="12" hidden="1" customWidth="1" outlineLevel="1"/>
    <col min="28" max="29" width="22.85546875" style="12" hidden="1" customWidth="1" outlineLevel="1"/>
    <col min="30" max="30" width="21.5703125" style="12" hidden="1" customWidth="1" outlineLevel="1"/>
    <col min="31" max="31" width="23" style="12" hidden="1" customWidth="1" outlineLevel="1"/>
    <col min="32" max="32" width="31" style="12" hidden="1" customWidth="1" outlineLevel="1"/>
    <col min="33" max="34" width="22.85546875" style="12" hidden="1" customWidth="1" outlineLevel="1"/>
    <col min="35" max="35" width="21.5703125" style="12" hidden="1" customWidth="1" outlineLevel="1"/>
    <col min="36" max="36" width="25" style="12" customWidth="1" collapsed="1"/>
    <col min="37" max="37" width="22.28515625" style="12" customWidth="1"/>
    <col min="38" max="16384" width="9.140625" style="16"/>
  </cols>
  <sheetData>
    <row r="1" spans="1:37" ht="24" customHeight="1">
      <c r="P1" s="25"/>
      <c r="Q1" s="25"/>
      <c r="R1" s="25"/>
      <c r="AJ1" s="25"/>
      <c r="AK1" s="295" t="s">
        <v>317</v>
      </c>
    </row>
    <row r="2" spans="1:37" ht="26.45" customHeight="1">
      <c r="A2" s="269" t="s">
        <v>309</v>
      </c>
      <c r="B2" s="269"/>
      <c r="C2" s="269"/>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c r="AD2" s="269"/>
      <c r="AE2" s="269"/>
      <c r="AF2" s="269"/>
      <c r="AG2" s="269"/>
      <c r="AH2" s="269"/>
      <c r="AI2" s="269"/>
      <c r="AJ2" s="269"/>
      <c r="AK2" s="269"/>
    </row>
    <row r="3" spans="1:37" ht="26.45" customHeight="1">
      <c r="A3" s="74"/>
      <c r="B3" s="74"/>
      <c r="C3" s="74"/>
      <c r="D3" s="74"/>
      <c r="E3" s="74"/>
      <c r="F3" s="74"/>
      <c r="G3" s="74"/>
      <c r="H3" s="74"/>
      <c r="I3" s="141"/>
      <c r="J3" s="216"/>
      <c r="K3" s="76"/>
      <c r="L3" s="76"/>
      <c r="M3" s="78"/>
      <c r="N3" s="76"/>
      <c r="O3" s="76"/>
      <c r="P3" s="213"/>
      <c r="Q3" s="213"/>
      <c r="R3" s="213"/>
      <c r="S3" s="213"/>
      <c r="T3" s="213"/>
      <c r="U3" s="213"/>
      <c r="V3" s="213"/>
      <c r="W3" s="213"/>
      <c r="X3" s="213"/>
      <c r="Y3" s="213"/>
      <c r="Z3" s="213"/>
      <c r="AA3" s="213"/>
      <c r="AB3" s="213"/>
      <c r="AC3" s="213"/>
      <c r="AD3" s="213"/>
      <c r="AE3" s="213"/>
      <c r="AF3" s="213"/>
      <c r="AG3" s="213"/>
      <c r="AH3" s="213"/>
      <c r="AI3" s="213"/>
      <c r="AJ3" s="213"/>
      <c r="AK3" s="213"/>
    </row>
    <row r="4" spans="1:37" ht="33.75" customHeight="1">
      <c r="A4" s="71"/>
      <c r="B4" s="71"/>
      <c r="C4" s="71"/>
      <c r="D4" s="71"/>
      <c r="E4" s="71"/>
      <c r="F4" s="71"/>
      <c r="G4" s="70"/>
      <c r="H4" s="70"/>
      <c r="I4" s="70"/>
      <c r="J4" s="70"/>
      <c r="K4" s="70"/>
      <c r="L4" s="70"/>
      <c r="M4" s="70"/>
      <c r="N4" s="70"/>
      <c r="O4" s="70"/>
      <c r="P4" s="70"/>
      <c r="Q4" s="70"/>
      <c r="R4" s="70"/>
      <c r="S4" s="72"/>
      <c r="T4" s="72"/>
      <c r="U4" s="70"/>
      <c r="V4" s="70"/>
      <c r="W4" s="70"/>
      <c r="X4" s="70"/>
      <c r="Y4" s="72"/>
      <c r="Z4" s="296" t="s">
        <v>318</v>
      </c>
      <c r="AA4" s="296"/>
      <c r="AB4" s="296"/>
      <c r="AC4" s="296"/>
      <c r="AD4" s="296"/>
      <c r="AE4" s="296"/>
      <c r="AF4" s="296"/>
      <c r="AG4" s="296"/>
      <c r="AH4" s="296"/>
      <c r="AI4" s="296"/>
      <c r="AJ4" s="214"/>
      <c r="AK4" s="214"/>
    </row>
    <row r="5" spans="1:37" s="31" customFormat="1" ht="57" customHeight="1">
      <c r="A5" s="273" t="s">
        <v>5</v>
      </c>
      <c r="B5" s="276" t="s">
        <v>6</v>
      </c>
      <c r="C5" s="276" t="s">
        <v>7</v>
      </c>
      <c r="D5" s="276" t="s">
        <v>298</v>
      </c>
      <c r="E5" s="276" t="s">
        <v>29</v>
      </c>
      <c r="F5" s="276" t="s">
        <v>22</v>
      </c>
      <c r="G5" s="288" t="s">
        <v>76</v>
      </c>
      <c r="H5" s="279"/>
      <c r="I5" s="285" t="s">
        <v>65</v>
      </c>
      <c r="J5" s="289" t="s">
        <v>83</v>
      </c>
      <c r="K5" s="290"/>
      <c r="L5" s="290"/>
      <c r="M5" s="290"/>
      <c r="N5" s="290"/>
      <c r="O5" s="290"/>
      <c r="P5" s="291"/>
      <c r="Q5" s="250" t="s">
        <v>268</v>
      </c>
      <c r="R5" s="251"/>
      <c r="S5" s="251"/>
      <c r="T5" s="251"/>
      <c r="U5" s="251"/>
      <c r="V5" s="251"/>
      <c r="W5" s="251"/>
      <c r="X5" s="251"/>
      <c r="Y5" s="252"/>
      <c r="Z5" s="257" t="s">
        <v>63</v>
      </c>
      <c r="AA5" s="258"/>
      <c r="AB5" s="258"/>
      <c r="AC5" s="258"/>
      <c r="AD5" s="259"/>
      <c r="AE5" s="257" t="s">
        <v>64</v>
      </c>
      <c r="AF5" s="258"/>
      <c r="AG5" s="258"/>
      <c r="AH5" s="258"/>
      <c r="AI5" s="259"/>
      <c r="AJ5" s="279" t="s">
        <v>296</v>
      </c>
      <c r="AK5" s="280"/>
    </row>
    <row r="6" spans="1:37" s="26" customFormat="1" ht="44.25" customHeight="1">
      <c r="A6" s="274"/>
      <c r="B6" s="277"/>
      <c r="C6" s="277"/>
      <c r="D6" s="277"/>
      <c r="E6" s="277"/>
      <c r="F6" s="277"/>
      <c r="G6" s="281" t="s">
        <v>286</v>
      </c>
      <c r="H6" s="283" t="s">
        <v>77</v>
      </c>
      <c r="I6" s="286"/>
      <c r="J6" s="292" t="s">
        <v>291</v>
      </c>
      <c r="K6" s="263" t="s">
        <v>263</v>
      </c>
      <c r="L6" s="267" t="s">
        <v>58</v>
      </c>
      <c r="M6" s="267"/>
      <c r="N6" s="255" t="s">
        <v>265</v>
      </c>
      <c r="O6" s="255" t="s">
        <v>267</v>
      </c>
      <c r="P6" s="265" t="s">
        <v>80</v>
      </c>
      <c r="Q6" s="253" t="s">
        <v>291</v>
      </c>
      <c r="R6" s="267" t="s">
        <v>61</v>
      </c>
      <c r="S6" s="270" t="s">
        <v>81</v>
      </c>
      <c r="T6" s="271"/>
      <c r="U6" s="272" t="s">
        <v>58</v>
      </c>
      <c r="V6" s="271"/>
      <c r="W6" s="255" t="s">
        <v>78</v>
      </c>
      <c r="X6" s="255" t="s">
        <v>79</v>
      </c>
      <c r="Y6" s="260" t="s">
        <v>80</v>
      </c>
      <c r="Z6" s="253" t="s">
        <v>81</v>
      </c>
      <c r="AA6" s="255" t="s">
        <v>58</v>
      </c>
      <c r="AB6" s="255" t="s">
        <v>78</v>
      </c>
      <c r="AC6" s="255" t="s">
        <v>79</v>
      </c>
      <c r="AD6" s="260" t="s">
        <v>82</v>
      </c>
      <c r="AE6" s="253" t="s">
        <v>60</v>
      </c>
      <c r="AF6" s="255" t="s">
        <v>58</v>
      </c>
      <c r="AG6" s="255" t="s">
        <v>78</v>
      </c>
      <c r="AH6" s="255" t="s">
        <v>79</v>
      </c>
      <c r="AI6" s="260" t="s">
        <v>80</v>
      </c>
      <c r="AJ6" s="263" t="s">
        <v>62</v>
      </c>
      <c r="AK6" s="260" t="s">
        <v>61</v>
      </c>
    </row>
    <row r="7" spans="1:37" s="26" customFormat="1" ht="69" customHeight="1">
      <c r="A7" s="275"/>
      <c r="B7" s="278"/>
      <c r="C7" s="278"/>
      <c r="D7" s="278"/>
      <c r="E7" s="278"/>
      <c r="F7" s="278"/>
      <c r="G7" s="282"/>
      <c r="H7" s="284"/>
      <c r="I7" s="287"/>
      <c r="J7" s="293"/>
      <c r="K7" s="264"/>
      <c r="L7" s="224" t="s">
        <v>59</v>
      </c>
      <c r="M7" s="224" t="s">
        <v>61</v>
      </c>
      <c r="N7" s="256"/>
      <c r="O7" s="256"/>
      <c r="P7" s="266"/>
      <c r="Q7" s="254"/>
      <c r="R7" s="267"/>
      <c r="S7" s="223" t="s">
        <v>59</v>
      </c>
      <c r="T7" s="224" t="s">
        <v>61</v>
      </c>
      <c r="U7" s="224" t="s">
        <v>59</v>
      </c>
      <c r="V7" s="224" t="s">
        <v>61</v>
      </c>
      <c r="W7" s="256"/>
      <c r="X7" s="256"/>
      <c r="Y7" s="261"/>
      <c r="Z7" s="254"/>
      <c r="AA7" s="256"/>
      <c r="AB7" s="256"/>
      <c r="AC7" s="256"/>
      <c r="AD7" s="261"/>
      <c r="AE7" s="254"/>
      <c r="AF7" s="256"/>
      <c r="AG7" s="256"/>
      <c r="AH7" s="256"/>
      <c r="AI7" s="261"/>
      <c r="AJ7" s="264"/>
      <c r="AK7" s="261"/>
    </row>
    <row r="8" spans="1:37" s="26" customFormat="1" ht="23.25" customHeight="1">
      <c r="A8" s="227">
        <v>1</v>
      </c>
      <c r="B8" s="35">
        <v>2</v>
      </c>
      <c r="C8" s="35">
        <v>3</v>
      </c>
      <c r="D8" s="35">
        <v>4</v>
      </c>
      <c r="E8" s="40" t="s">
        <v>33</v>
      </c>
      <c r="F8" s="35">
        <v>6</v>
      </c>
      <c r="G8" s="36">
        <v>7</v>
      </c>
      <c r="H8" s="101">
        <v>8</v>
      </c>
      <c r="I8" s="101">
        <v>9</v>
      </c>
      <c r="J8" s="210" t="s">
        <v>292</v>
      </c>
      <c r="K8" s="158">
        <v>11</v>
      </c>
      <c r="L8" s="36">
        <v>12</v>
      </c>
      <c r="M8" s="36" t="s">
        <v>293</v>
      </c>
      <c r="N8" s="36" t="s">
        <v>294</v>
      </c>
      <c r="O8" s="36" t="s">
        <v>295</v>
      </c>
      <c r="P8" s="101">
        <v>16</v>
      </c>
      <c r="Q8" s="210" t="s">
        <v>310</v>
      </c>
      <c r="R8" s="158" t="s">
        <v>300</v>
      </c>
      <c r="S8" s="158" t="s">
        <v>301</v>
      </c>
      <c r="T8" s="36" t="s">
        <v>302</v>
      </c>
      <c r="U8" s="36" t="s">
        <v>303</v>
      </c>
      <c r="V8" s="36" t="s">
        <v>304</v>
      </c>
      <c r="W8" s="36" t="s">
        <v>305</v>
      </c>
      <c r="X8" s="36" t="s">
        <v>306</v>
      </c>
      <c r="Y8" s="126" t="s">
        <v>307</v>
      </c>
      <c r="Z8" s="211" t="s">
        <v>66</v>
      </c>
      <c r="AA8" s="224" t="s">
        <v>67</v>
      </c>
      <c r="AB8" s="224" t="s">
        <v>71</v>
      </c>
      <c r="AC8" s="224" t="s">
        <v>72</v>
      </c>
      <c r="AD8" s="212" t="s">
        <v>73</v>
      </c>
      <c r="AE8" s="211" t="s">
        <v>68</v>
      </c>
      <c r="AF8" s="224" t="s">
        <v>69</v>
      </c>
      <c r="AG8" s="224" t="s">
        <v>70</v>
      </c>
      <c r="AH8" s="224" t="s">
        <v>74</v>
      </c>
      <c r="AI8" s="212" t="s">
        <v>75</v>
      </c>
      <c r="AJ8" s="223">
        <v>26</v>
      </c>
      <c r="AK8" s="212" t="s">
        <v>311</v>
      </c>
    </row>
    <row r="9" spans="1:37" s="27" customFormat="1" ht="81">
      <c r="A9" s="228" t="s">
        <v>85</v>
      </c>
      <c r="B9" s="191" t="s">
        <v>86</v>
      </c>
      <c r="C9" s="192" t="s">
        <v>282</v>
      </c>
      <c r="D9" s="192"/>
      <c r="E9" s="193"/>
      <c r="F9" s="192"/>
      <c r="G9" s="194">
        <f>G10</f>
        <v>686004373</v>
      </c>
      <c r="H9" s="194">
        <f>H10</f>
        <v>583103717</v>
      </c>
      <c r="I9" s="219">
        <v>0.85</v>
      </c>
      <c r="J9" s="222">
        <f>J10+J11</f>
        <v>643910454.82385218</v>
      </c>
      <c r="K9" s="133">
        <f>K10+K11</f>
        <v>759187810.05000007</v>
      </c>
      <c r="L9" s="194">
        <f>L10+L11</f>
        <v>643284868.93000007</v>
      </c>
      <c r="M9" s="160">
        <f>L9/H9</f>
        <v>1.1032083147053582</v>
      </c>
      <c r="N9" s="194">
        <f>N10+N11</f>
        <v>723410716.3499999</v>
      </c>
      <c r="O9" s="194">
        <f>O10+O11</f>
        <v>80125847.420000002</v>
      </c>
      <c r="P9" s="225">
        <f>P10+P11</f>
        <v>35777093.700000003</v>
      </c>
      <c r="Q9" s="247">
        <f>Q10+Q11</f>
        <v>633437939.94319522</v>
      </c>
      <c r="R9" s="160">
        <f>Q9/H9</f>
        <v>1.0863212177795039</v>
      </c>
      <c r="S9" s="133">
        <f>S10+S11</f>
        <v>746340471.90000021</v>
      </c>
      <c r="T9" s="160">
        <f>S9/G9</f>
        <v>1.08795293627086</v>
      </c>
      <c r="U9" s="194">
        <f>U10+U11</f>
        <v>633285972.5400002</v>
      </c>
      <c r="V9" s="160">
        <f>U9/H9</f>
        <v>1.0860605996445745</v>
      </c>
      <c r="W9" s="194">
        <f t="shared" ref="W9:AI9" si="0">W10+W11</f>
        <v>712705621.63000011</v>
      </c>
      <c r="X9" s="194">
        <f t="shared" si="0"/>
        <v>79419649.090000004</v>
      </c>
      <c r="Y9" s="195">
        <f t="shared" si="0"/>
        <v>33634850.270000011</v>
      </c>
      <c r="Z9" s="133">
        <f t="shared" si="0"/>
        <v>753606786.35000026</v>
      </c>
      <c r="AA9" s="194">
        <f t="shared" si="0"/>
        <v>638014147.6400001</v>
      </c>
      <c r="AB9" s="194">
        <f>AB10+AB11</f>
        <v>718249516.2900002</v>
      </c>
      <c r="AC9" s="194">
        <f t="shared" si="0"/>
        <v>80235368.649999976</v>
      </c>
      <c r="AD9" s="195">
        <f t="shared" si="0"/>
        <v>35357270.060000002</v>
      </c>
      <c r="AE9" s="133">
        <f t="shared" si="0"/>
        <v>7266314.4499999993</v>
      </c>
      <c r="AF9" s="194">
        <f t="shared" si="0"/>
        <v>4728175.0999999987</v>
      </c>
      <c r="AG9" s="194">
        <f t="shared" si="0"/>
        <v>5543894.6599999992</v>
      </c>
      <c r="AH9" s="194">
        <f t="shared" si="0"/>
        <v>815719.55999999994</v>
      </c>
      <c r="AI9" s="195">
        <f t="shared" si="0"/>
        <v>1722419.7899999998</v>
      </c>
      <c r="AJ9" s="133">
        <f t="shared" ref="AJ9" si="1">AJ12+AJ24+AJ50+AJ77+AJ93+AJ116</f>
        <v>482363547.94</v>
      </c>
      <c r="AK9" s="229">
        <f>AJ9/H9</f>
        <v>0.82723456201188994</v>
      </c>
    </row>
    <row r="10" spans="1:37" s="27" customFormat="1" ht="81">
      <c r="A10" s="228" t="s">
        <v>85</v>
      </c>
      <c r="B10" s="191" t="s">
        <v>86</v>
      </c>
      <c r="C10" s="192" t="s">
        <v>89</v>
      </c>
      <c r="D10" s="192"/>
      <c r="E10" s="193"/>
      <c r="F10" s="192"/>
      <c r="G10" s="194">
        <f>G12+G24+G51+G78+G94+G116</f>
        <v>686004373</v>
      </c>
      <c r="H10" s="194">
        <f t="shared" ref="H10:AI10" si="2">H12+H24+H51+H78+H94+H116</f>
        <v>583103717</v>
      </c>
      <c r="I10" s="219">
        <v>0.85</v>
      </c>
      <c r="J10" s="222">
        <f t="shared" si="2"/>
        <v>642924595.21160913</v>
      </c>
      <c r="K10" s="133">
        <f t="shared" si="2"/>
        <v>758064539.76000011</v>
      </c>
      <c r="L10" s="194">
        <f t="shared" si="2"/>
        <v>642161598.6400001</v>
      </c>
      <c r="M10" s="160">
        <f>L10/H10</f>
        <v>1.1012819502229312</v>
      </c>
      <c r="N10" s="194">
        <f t="shared" si="2"/>
        <v>722287446.05999994</v>
      </c>
      <c r="O10" s="194">
        <f t="shared" si="2"/>
        <v>80125847.420000002</v>
      </c>
      <c r="P10" s="225">
        <f t="shared" si="2"/>
        <v>35777093.700000003</v>
      </c>
      <c r="Q10" s="247">
        <f t="shared" ref="Q10" si="3">Q12+Q24+Q51+Q78+Q94+Q116</f>
        <v>632487905.58719623</v>
      </c>
      <c r="R10" s="160">
        <f t="shared" ref="R10:R73" si="4">Q10/H10</f>
        <v>1.0846919461279927</v>
      </c>
      <c r="S10" s="133">
        <f t="shared" si="2"/>
        <v>745256098.51000023</v>
      </c>
      <c r="T10" s="160">
        <f>S10/G10</f>
        <v>1.0863722271198994</v>
      </c>
      <c r="U10" s="194">
        <f t="shared" si="2"/>
        <v>632201599.15000021</v>
      </c>
      <c r="V10" s="160">
        <f>U10/H10</f>
        <v>1.0842009418197556</v>
      </c>
      <c r="W10" s="194">
        <f t="shared" si="2"/>
        <v>711621248.24000013</v>
      </c>
      <c r="X10" s="194">
        <f t="shared" si="2"/>
        <v>79419649.090000004</v>
      </c>
      <c r="Y10" s="195">
        <f t="shared" si="2"/>
        <v>33634850.270000011</v>
      </c>
      <c r="Z10" s="133">
        <f t="shared" si="2"/>
        <v>752522412.96000028</v>
      </c>
      <c r="AA10" s="194">
        <f t="shared" si="2"/>
        <v>636929774.25000012</v>
      </c>
      <c r="AB10" s="194">
        <f t="shared" si="2"/>
        <v>717165142.90000021</v>
      </c>
      <c r="AC10" s="194">
        <f t="shared" si="2"/>
        <v>80235368.649999976</v>
      </c>
      <c r="AD10" s="195">
        <f t="shared" si="2"/>
        <v>35357270.060000002</v>
      </c>
      <c r="AE10" s="133">
        <f t="shared" si="2"/>
        <v>7266314.4499999993</v>
      </c>
      <c r="AF10" s="194">
        <f t="shared" si="2"/>
        <v>4728175.0999999987</v>
      </c>
      <c r="AG10" s="194">
        <f t="shared" si="2"/>
        <v>5543894.6599999992</v>
      </c>
      <c r="AH10" s="194">
        <f t="shared" si="2"/>
        <v>815719.55999999994</v>
      </c>
      <c r="AI10" s="195">
        <f t="shared" si="2"/>
        <v>1722419.7899999998</v>
      </c>
      <c r="AJ10" s="133"/>
      <c r="AK10" s="229"/>
    </row>
    <row r="11" spans="1:37" s="27" customFormat="1" ht="81">
      <c r="A11" s="228" t="s">
        <v>85</v>
      </c>
      <c r="B11" s="191" t="s">
        <v>86</v>
      </c>
      <c r="C11" s="192" t="s">
        <v>284</v>
      </c>
      <c r="D11" s="192"/>
      <c r="E11" s="193"/>
      <c r="F11" s="192"/>
      <c r="G11" s="194" t="s">
        <v>308</v>
      </c>
      <c r="H11" s="194" t="s">
        <v>308</v>
      </c>
      <c r="I11" s="219">
        <v>0.85</v>
      </c>
      <c r="J11" s="222">
        <f t="shared" ref="J11:AI11" si="5">J52+J79+J95</f>
        <v>985859.61224299995</v>
      </c>
      <c r="K11" s="133">
        <f t="shared" si="5"/>
        <v>1123270.2899999998</v>
      </c>
      <c r="L11" s="194">
        <f t="shared" si="5"/>
        <v>1123270.29</v>
      </c>
      <c r="M11" s="160" t="s">
        <v>308</v>
      </c>
      <c r="N11" s="194">
        <f t="shared" si="5"/>
        <v>1123270.2899999998</v>
      </c>
      <c r="O11" s="194">
        <f t="shared" si="5"/>
        <v>0</v>
      </c>
      <c r="P11" s="225">
        <f t="shared" si="5"/>
        <v>0</v>
      </c>
      <c r="Q11" s="247">
        <f t="shared" ref="Q11" si="6">Q52+Q79+Q95</f>
        <v>950034.35599900025</v>
      </c>
      <c r="R11" s="160" t="s">
        <v>308</v>
      </c>
      <c r="S11" s="133">
        <f t="shared" si="5"/>
        <v>1084373.3900000001</v>
      </c>
      <c r="T11" s="160" t="s">
        <v>308</v>
      </c>
      <c r="U11" s="194">
        <f t="shared" si="5"/>
        <v>1084373.3900000001</v>
      </c>
      <c r="V11" s="160" t="s">
        <v>308</v>
      </c>
      <c r="W11" s="194">
        <f t="shared" si="5"/>
        <v>1084373.3900000001</v>
      </c>
      <c r="X11" s="194">
        <f t="shared" si="5"/>
        <v>0</v>
      </c>
      <c r="Y11" s="195">
        <f t="shared" si="5"/>
        <v>0</v>
      </c>
      <c r="Z11" s="133">
        <f t="shared" si="5"/>
        <v>1084373.3900000001</v>
      </c>
      <c r="AA11" s="194">
        <f t="shared" si="5"/>
        <v>1084373.3900000001</v>
      </c>
      <c r="AB11" s="194">
        <f t="shared" si="5"/>
        <v>1084373.3900000001</v>
      </c>
      <c r="AC11" s="194">
        <f t="shared" si="5"/>
        <v>0</v>
      </c>
      <c r="AD11" s="195">
        <f t="shared" si="5"/>
        <v>0</v>
      </c>
      <c r="AE11" s="133">
        <f t="shared" si="5"/>
        <v>0</v>
      </c>
      <c r="AF11" s="194">
        <f t="shared" si="5"/>
        <v>0</v>
      </c>
      <c r="AG11" s="194">
        <f t="shared" si="5"/>
        <v>0</v>
      </c>
      <c r="AH11" s="194">
        <f t="shared" si="5"/>
        <v>0</v>
      </c>
      <c r="AI11" s="195">
        <f t="shared" si="5"/>
        <v>0</v>
      </c>
      <c r="AJ11" s="133"/>
      <c r="AK11" s="229"/>
    </row>
    <row r="12" spans="1:37" s="27" customFormat="1" ht="49.5">
      <c r="A12" s="230" t="s">
        <v>87</v>
      </c>
      <c r="B12" s="167" t="s">
        <v>88</v>
      </c>
      <c r="C12" s="168" t="s">
        <v>89</v>
      </c>
      <c r="D12" s="168"/>
      <c r="E12" s="169"/>
      <c r="F12" s="196"/>
      <c r="G12" s="57">
        <f>G13+G17</f>
        <v>130256169</v>
      </c>
      <c r="H12" s="105">
        <f t="shared" ref="H12" si="7">H13+H17</f>
        <v>116855553</v>
      </c>
      <c r="I12" s="152">
        <v>0.89710000000000001</v>
      </c>
      <c r="J12" s="114">
        <f>J13+J17</f>
        <v>127565676.40593703</v>
      </c>
      <c r="K12" s="123">
        <f>K13+K17</f>
        <v>142197833.47000003</v>
      </c>
      <c r="L12" s="59">
        <f>L13+L17</f>
        <v>127115924.29000001</v>
      </c>
      <c r="M12" s="159">
        <f>L12/H12</f>
        <v>1.0878038828843675</v>
      </c>
      <c r="N12" s="59">
        <f>N13+N17</f>
        <v>142152698.54000002</v>
      </c>
      <c r="O12" s="59">
        <f t="shared" ref="O12:P12" si="8">O13+O17</f>
        <v>15036774.250000007</v>
      </c>
      <c r="P12" s="105">
        <f t="shared" si="8"/>
        <v>45134.930000000037</v>
      </c>
      <c r="Q12" s="248">
        <f>Q13+Q17</f>
        <v>127764128.0863941</v>
      </c>
      <c r="R12" s="159">
        <f t="shared" si="4"/>
        <v>1.0933509346055135</v>
      </c>
      <c r="S12" s="142">
        <f>S13+S17</f>
        <v>142419048.14000008</v>
      </c>
      <c r="T12" s="159">
        <f>S12/G12</f>
        <v>1.0933766072914373</v>
      </c>
      <c r="U12" s="105">
        <f t="shared" ref="U12:Y12" si="9">U13+U17</f>
        <v>127298026.17000008</v>
      </c>
      <c r="V12" s="159">
        <f>U12/H12</f>
        <v>1.0893622331323876</v>
      </c>
      <c r="W12" s="105">
        <f t="shared" si="9"/>
        <v>142374087.44000009</v>
      </c>
      <c r="X12" s="105">
        <f t="shared" si="9"/>
        <v>15076061.270000009</v>
      </c>
      <c r="Y12" s="115">
        <f t="shared" si="9"/>
        <v>44960.699999999953</v>
      </c>
      <c r="Z12" s="129">
        <f t="shared" ref="Z12:AI12" si="10">Z13+Z17</f>
        <v>142454645.6800001</v>
      </c>
      <c r="AA12" s="88">
        <f t="shared" si="10"/>
        <v>127329902.97000007</v>
      </c>
      <c r="AB12" s="88">
        <f t="shared" si="10"/>
        <v>142409684.98000005</v>
      </c>
      <c r="AC12" s="88">
        <f t="shared" si="10"/>
        <v>15079782.009999976</v>
      </c>
      <c r="AD12" s="127">
        <f t="shared" si="10"/>
        <v>44960.699999999953</v>
      </c>
      <c r="AE12" s="129">
        <f t="shared" si="10"/>
        <v>35597.54</v>
      </c>
      <c r="AF12" s="88">
        <f t="shared" si="10"/>
        <v>31876.799999999999</v>
      </c>
      <c r="AG12" s="88">
        <f t="shared" si="10"/>
        <v>35597.54</v>
      </c>
      <c r="AH12" s="88">
        <f t="shared" si="10"/>
        <v>3720.74</v>
      </c>
      <c r="AI12" s="127">
        <f t="shared" si="10"/>
        <v>0</v>
      </c>
      <c r="AJ12" s="134">
        <v>95931610.090000004</v>
      </c>
      <c r="AK12" s="231">
        <f>AJ12/H12</f>
        <v>0.82094181771575714</v>
      </c>
    </row>
    <row r="13" spans="1:37" s="27" customFormat="1" ht="66">
      <c r="A13" s="232" t="s">
        <v>90</v>
      </c>
      <c r="B13" s="171" t="s">
        <v>91</v>
      </c>
      <c r="C13" s="172" t="s">
        <v>89</v>
      </c>
      <c r="D13" s="172"/>
      <c r="E13" s="173"/>
      <c r="F13" s="197"/>
      <c r="G13" s="58">
        <f>SUM(G14:G16)</f>
        <v>64276562</v>
      </c>
      <c r="H13" s="107">
        <f t="shared" ref="H13" si="11">SUM(H14:H16)</f>
        <v>55616176.999999993</v>
      </c>
      <c r="I13" s="153">
        <v>0.89710000000000001</v>
      </c>
      <c r="J13" s="118">
        <f>SUM(J14:J16)</f>
        <v>69288176.038415998</v>
      </c>
      <c r="K13" s="121">
        <f>SUM(K14:K16)</f>
        <v>77235732.959999993</v>
      </c>
      <c r="L13" s="60">
        <f>SUM(L14:L16)</f>
        <v>66807993.75</v>
      </c>
      <c r="M13" s="175">
        <f>L13/H13</f>
        <v>1.2012331187380969</v>
      </c>
      <c r="N13" s="60">
        <f>SUM(N14:N16)</f>
        <v>77190598.029999986</v>
      </c>
      <c r="O13" s="60">
        <f>SUM(O14:O16)</f>
        <v>10382604.279999986</v>
      </c>
      <c r="P13" s="107">
        <f>SUM(P14:P16)</f>
        <v>45134.930000000037</v>
      </c>
      <c r="Q13" s="165">
        <f>SUM(Q14:Q16)</f>
        <v>69483471.075161085</v>
      </c>
      <c r="R13" s="175">
        <f t="shared" si="4"/>
        <v>1.2493392178890881</v>
      </c>
      <c r="S13" s="143">
        <f>SUM(S14:S16)</f>
        <v>77453428.910000086</v>
      </c>
      <c r="T13" s="175">
        <f>S13/G13</f>
        <v>1.2050026712691959</v>
      </c>
      <c r="U13" s="60">
        <f>SUM(U14:U16)</f>
        <v>66988640.330000073</v>
      </c>
      <c r="V13" s="175">
        <f>U13/H13</f>
        <v>1.2044812129032185</v>
      </c>
      <c r="W13" s="60">
        <f t="shared" ref="W13:Y13" si="12">SUM(W14:W16)</f>
        <v>77408468.210000083</v>
      </c>
      <c r="X13" s="60">
        <f t="shared" si="12"/>
        <v>10419827.880000014</v>
      </c>
      <c r="Y13" s="119">
        <f t="shared" si="12"/>
        <v>44960.699999999953</v>
      </c>
      <c r="Z13" s="130">
        <f t="shared" ref="Z13:AI13" si="13">SUM(Z14:Z16)</f>
        <v>77453449.550000086</v>
      </c>
      <c r="AA13" s="89">
        <f t="shared" si="13"/>
        <v>66988657.870000072</v>
      </c>
      <c r="AB13" s="89">
        <f t="shared" si="13"/>
        <v>77408488.850000054</v>
      </c>
      <c r="AC13" s="89">
        <f t="shared" si="13"/>
        <v>10419830.979999978</v>
      </c>
      <c r="AD13" s="128">
        <f t="shared" si="13"/>
        <v>44960.699999999953</v>
      </c>
      <c r="AE13" s="130">
        <f t="shared" si="13"/>
        <v>20.64</v>
      </c>
      <c r="AF13" s="89">
        <f t="shared" si="13"/>
        <v>17.54</v>
      </c>
      <c r="AG13" s="89">
        <f t="shared" si="13"/>
        <v>20.64</v>
      </c>
      <c r="AH13" s="89">
        <f t="shared" si="13"/>
        <v>3.1</v>
      </c>
      <c r="AI13" s="128">
        <f t="shared" si="13"/>
        <v>0</v>
      </c>
      <c r="AJ13" s="135"/>
      <c r="AK13" s="233"/>
    </row>
    <row r="14" spans="1:37" s="33" customFormat="1" ht="82.5" outlineLevel="1">
      <c r="A14" s="234" t="s">
        <v>92</v>
      </c>
      <c r="B14" s="183" t="s">
        <v>93</v>
      </c>
      <c r="C14" s="182" t="s">
        <v>89</v>
      </c>
      <c r="D14" s="182" t="s">
        <v>8</v>
      </c>
      <c r="E14" s="178"/>
      <c r="F14" s="179"/>
      <c r="G14" s="61">
        <v>0</v>
      </c>
      <c r="H14" s="102">
        <v>0</v>
      </c>
      <c r="I14" s="198">
        <v>0.89710000000000001</v>
      </c>
      <c r="J14" s="220">
        <v>0</v>
      </c>
      <c r="K14" s="144">
        <v>0</v>
      </c>
      <c r="L14" s="61">
        <v>0</v>
      </c>
      <c r="M14" s="181">
        <v>0</v>
      </c>
      <c r="N14" s="61">
        <f>K14-P14</f>
        <v>0</v>
      </c>
      <c r="O14" s="61">
        <f t="shared" ref="O14:O20" si="14">N14-L14</f>
        <v>0</v>
      </c>
      <c r="P14" s="102">
        <v>0</v>
      </c>
      <c r="Q14" s="163">
        <v>0</v>
      </c>
      <c r="R14" s="249">
        <v>0</v>
      </c>
      <c r="S14" s="145">
        <f t="shared" ref="S14:S84" si="15">Z14-AE14</f>
        <v>0</v>
      </c>
      <c r="T14" s="181">
        <v>0</v>
      </c>
      <c r="U14" s="61">
        <f>S14*I14</f>
        <v>0</v>
      </c>
      <c r="V14" s="181">
        <v>0</v>
      </c>
      <c r="W14" s="140">
        <f>S14-Y14</f>
        <v>0</v>
      </c>
      <c r="X14" s="140">
        <f>S14-U14-Y14</f>
        <v>0</v>
      </c>
      <c r="Y14" s="109">
        <f>AD14-AI14</f>
        <v>0</v>
      </c>
      <c r="Z14" s="108">
        <v>0</v>
      </c>
      <c r="AA14" s="61">
        <v>0</v>
      </c>
      <c r="AB14" s="61">
        <v>0</v>
      </c>
      <c r="AC14" s="61">
        <v>0</v>
      </c>
      <c r="AD14" s="109">
        <v>0</v>
      </c>
      <c r="AE14" s="108">
        <v>0</v>
      </c>
      <c r="AF14" s="61">
        <v>0</v>
      </c>
      <c r="AG14" s="61">
        <v>0</v>
      </c>
      <c r="AH14" s="61">
        <v>0</v>
      </c>
      <c r="AI14" s="109">
        <v>0</v>
      </c>
      <c r="AJ14" s="120"/>
      <c r="AK14" s="235"/>
    </row>
    <row r="15" spans="1:37" s="28" customFormat="1" ht="49.5" outlineLevel="1">
      <c r="A15" s="234" t="s">
        <v>269</v>
      </c>
      <c r="B15" s="183" t="s">
        <v>94</v>
      </c>
      <c r="C15" s="182" t="s">
        <v>89</v>
      </c>
      <c r="D15" s="182" t="s">
        <v>8</v>
      </c>
      <c r="E15" s="178" t="s">
        <v>95</v>
      </c>
      <c r="F15" s="179">
        <v>7</v>
      </c>
      <c r="G15" s="61">
        <v>64276562</v>
      </c>
      <c r="H15" s="102">
        <v>55616176.999999993</v>
      </c>
      <c r="I15" s="198">
        <v>0.89710000000000001</v>
      </c>
      <c r="J15" s="220">
        <f>K15*I15</f>
        <v>69288176.038415998</v>
      </c>
      <c r="K15" s="144">
        <v>77235732.959999993</v>
      </c>
      <c r="L15" s="61">
        <v>66807993.75</v>
      </c>
      <c r="M15" s="181">
        <f>L15/H15</f>
        <v>1.2012331187380969</v>
      </c>
      <c r="N15" s="61">
        <f>K15-P15</f>
        <v>77190598.029999986</v>
      </c>
      <c r="O15" s="61">
        <f>N15-L15</f>
        <v>10382604.279999986</v>
      </c>
      <c r="P15" s="102">
        <v>45134.930000000037</v>
      </c>
      <c r="Q15" s="163">
        <f>S15*I15</f>
        <v>69483471.075161085</v>
      </c>
      <c r="R15" s="249">
        <f t="shared" si="4"/>
        <v>1.2493392178890881</v>
      </c>
      <c r="S15" s="145">
        <f>Z15-AE15</f>
        <v>77453428.910000086</v>
      </c>
      <c r="T15" s="181">
        <f>S15/G15</f>
        <v>1.2050026712691959</v>
      </c>
      <c r="U15" s="61">
        <f>AA15-AF15</f>
        <v>66988640.330000073</v>
      </c>
      <c r="V15" s="181">
        <f>U15/H15</f>
        <v>1.2044812129032185</v>
      </c>
      <c r="W15" s="140">
        <f>S15-Y15</f>
        <v>77408468.210000083</v>
      </c>
      <c r="X15" s="140">
        <f>S15-U15-Y15</f>
        <v>10419827.880000014</v>
      </c>
      <c r="Y15" s="109">
        <f>AD15-AI15</f>
        <v>44960.699999999953</v>
      </c>
      <c r="Z15" s="108">
        <v>77453449.550000086</v>
      </c>
      <c r="AA15" s="61">
        <v>66988657.870000072</v>
      </c>
      <c r="AB15" s="61">
        <v>77408488.850000054</v>
      </c>
      <c r="AC15" s="61">
        <v>10419830.979999978</v>
      </c>
      <c r="AD15" s="109">
        <v>44960.699999999953</v>
      </c>
      <c r="AE15" s="108">
        <v>20.64</v>
      </c>
      <c r="AF15" s="61">
        <v>17.54</v>
      </c>
      <c r="AG15" s="61">
        <v>20.64</v>
      </c>
      <c r="AH15" s="61">
        <v>3.1</v>
      </c>
      <c r="AI15" s="109">
        <v>0</v>
      </c>
      <c r="AJ15" s="120"/>
      <c r="AK15" s="109"/>
    </row>
    <row r="16" spans="1:37" ht="49.5" outlineLevel="1">
      <c r="A16" s="234" t="s">
        <v>96</v>
      </c>
      <c r="B16" s="183" t="s">
        <v>97</v>
      </c>
      <c r="C16" s="182" t="s">
        <v>89</v>
      </c>
      <c r="D16" s="182" t="s">
        <v>8</v>
      </c>
      <c r="E16" s="178"/>
      <c r="F16" s="199"/>
      <c r="G16" s="61">
        <v>0</v>
      </c>
      <c r="H16" s="103">
        <v>0</v>
      </c>
      <c r="I16" s="198">
        <v>0.89710000000000001</v>
      </c>
      <c r="J16" s="220">
        <v>0</v>
      </c>
      <c r="K16" s="145">
        <v>0</v>
      </c>
      <c r="L16" s="61">
        <f t="shared" ref="L16:L75" si="16">K16*I16</f>
        <v>0</v>
      </c>
      <c r="M16" s="181">
        <v>0</v>
      </c>
      <c r="N16" s="61">
        <f t="shared" ref="N16" si="17">K16-P16</f>
        <v>0</v>
      </c>
      <c r="O16" s="61">
        <f t="shared" si="14"/>
        <v>0</v>
      </c>
      <c r="P16" s="103">
        <v>0</v>
      </c>
      <c r="Q16" s="188">
        <v>0</v>
      </c>
      <c r="R16" s="249">
        <v>0</v>
      </c>
      <c r="S16" s="145">
        <f t="shared" si="15"/>
        <v>0</v>
      </c>
      <c r="T16" s="181">
        <v>0</v>
      </c>
      <c r="U16" s="61">
        <f t="shared" ref="U16" si="18">S16*I16</f>
        <v>0</v>
      </c>
      <c r="V16" s="181">
        <v>0</v>
      </c>
      <c r="W16" s="140">
        <f>S16-Y16</f>
        <v>0</v>
      </c>
      <c r="X16" s="140">
        <f>S16-U16-Y16</f>
        <v>0</v>
      </c>
      <c r="Y16" s="111">
        <f>AD16-AI16</f>
        <v>0</v>
      </c>
      <c r="Z16" s="108">
        <v>0</v>
      </c>
      <c r="AA16" s="61">
        <v>0</v>
      </c>
      <c r="AB16" s="61">
        <v>0</v>
      </c>
      <c r="AC16" s="61">
        <v>0</v>
      </c>
      <c r="AD16" s="109">
        <v>0</v>
      </c>
      <c r="AE16" s="108">
        <v>0</v>
      </c>
      <c r="AF16" s="61">
        <v>0</v>
      </c>
      <c r="AG16" s="61">
        <v>0</v>
      </c>
      <c r="AH16" s="61">
        <v>0</v>
      </c>
      <c r="AI16" s="109">
        <v>0</v>
      </c>
      <c r="AJ16" s="122"/>
      <c r="AK16" s="111"/>
    </row>
    <row r="17" spans="1:37" s="32" customFormat="1" ht="49.5">
      <c r="A17" s="232" t="s">
        <v>98</v>
      </c>
      <c r="B17" s="171" t="s">
        <v>99</v>
      </c>
      <c r="C17" s="172" t="s">
        <v>89</v>
      </c>
      <c r="D17" s="172" t="s">
        <v>8</v>
      </c>
      <c r="E17" s="173"/>
      <c r="F17" s="174"/>
      <c r="G17" s="60">
        <f>G18+G21</f>
        <v>65979607</v>
      </c>
      <c r="H17" s="104">
        <f>H18+H21</f>
        <v>61239376</v>
      </c>
      <c r="I17" s="153">
        <v>0.89710000000000001</v>
      </c>
      <c r="J17" s="112">
        <f>J18+J21</f>
        <v>58277500.367521033</v>
      </c>
      <c r="K17" s="146">
        <f>K18+K21</f>
        <v>64962100.51000002</v>
      </c>
      <c r="L17" s="58">
        <f>L18+L21</f>
        <v>60307930.540000007</v>
      </c>
      <c r="M17" s="175">
        <f t="shared" ref="M17:M22" si="19">L17/H17</f>
        <v>0.98479008897804587</v>
      </c>
      <c r="N17" s="60">
        <f>N18+N21</f>
        <v>64962100.51000002</v>
      </c>
      <c r="O17" s="60">
        <f>O18+O21</f>
        <v>4654169.9700000212</v>
      </c>
      <c r="P17" s="107">
        <f t="shared" ref="P17" si="20">P18+P21</f>
        <v>0</v>
      </c>
      <c r="Q17" s="189">
        <f>Q18+Q21</f>
        <v>58280657.011233009</v>
      </c>
      <c r="R17" s="175">
        <f t="shared" si="4"/>
        <v>0.95168600364629796</v>
      </c>
      <c r="S17" s="146">
        <f>S18+S21</f>
        <v>64965619.229999997</v>
      </c>
      <c r="T17" s="175">
        <f t="shared" ref="T17:T22" si="21">S17/G17</f>
        <v>0.98463180039856857</v>
      </c>
      <c r="U17" s="60">
        <f>U18+U21</f>
        <v>60309385.840000004</v>
      </c>
      <c r="V17" s="175">
        <f t="shared" ref="V17:V22" si="22">U17/H17</f>
        <v>0.98481385310000547</v>
      </c>
      <c r="W17" s="139">
        <f>W18+W21</f>
        <v>64965619.229999997</v>
      </c>
      <c r="X17" s="139">
        <f t="shared" ref="X17:Y17" si="23">X18+X21</f>
        <v>4656233.389999995</v>
      </c>
      <c r="Y17" s="190">
        <f t="shared" si="23"/>
        <v>0</v>
      </c>
      <c r="Z17" s="118">
        <f>Z18+Z21</f>
        <v>65001196.130000003</v>
      </c>
      <c r="AA17" s="60">
        <f>AA18+AA21</f>
        <v>60341245.100000001</v>
      </c>
      <c r="AB17" s="60">
        <f>AB18+AB21</f>
        <v>65001196.130000003</v>
      </c>
      <c r="AC17" s="60">
        <f t="shared" ref="AC17:AI17" si="24">AC18+AC21</f>
        <v>4659951.0299999984</v>
      </c>
      <c r="AD17" s="119">
        <f t="shared" si="24"/>
        <v>0</v>
      </c>
      <c r="AE17" s="118">
        <f t="shared" si="24"/>
        <v>35576.9</v>
      </c>
      <c r="AF17" s="60">
        <f t="shared" si="24"/>
        <v>31859.26</v>
      </c>
      <c r="AG17" s="60">
        <f t="shared" si="24"/>
        <v>35576.9</v>
      </c>
      <c r="AH17" s="60">
        <f t="shared" si="24"/>
        <v>3717.64</v>
      </c>
      <c r="AI17" s="119">
        <f t="shared" si="24"/>
        <v>0</v>
      </c>
      <c r="AJ17" s="124"/>
      <c r="AK17" s="113"/>
    </row>
    <row r="18" spans="1:37" s="28" customFormat="1" ht="49.5" outlineLevel="1">
      <c r="A18" s="236" t="s">
        <v>100</v>
      </c>
      <c r="B18" s="176" t="s">
        <v>101</v>
      </c>
      <c r="C18" s="177" t="s">
        <v>89</v>
      </c>
      <c r="D18" s="177" t="s">
        <v>8</v>
      </c>
      <c r="E18" s="178"/>
      <c r="F18" s="179"/>
      <c r="G18" s="65">
        <f>SUM(G19:G20)</f>
        <v>64554608</v>
      </c>
      <c r="H18" s="103">
        <f>SUM(H19:H20)</f>
        <v>59814377</v>
      </c>
      <c r="I18" s="198">
        <v>0.89710000000000001</v>
      </c>
      <c r="J18" s="110">
        <f>SUM(J19:J20)</f>
        <v>57000744.202657029</v>
      </c>
      <c r="K18" s="145">
        <f>SUM(K19:K20)</f>
        <v>63538896.670000024</v>
      </c>
      <c r="L18" s="65">
        <f>SUM(L19:L20)</f>
        <v>58884726.700000003</v>
      </c>
      <c r="M18" s="181">
        <f t="shared" si="19"/>
        <v>0.98445774500000227</v>
      </c>
      <c r="N18" s="61">
        <f>N19+N20</f>
        <v>63538896.670000024</v>
      </c>
      <c r="O18" s="61">
        <f t="shared" ref="O18:P18" si="25">O19+O20</f>
        <v>4654169.9700000212</v>
      </c>
      <c r="P18" s="102">
        <f t="shared" si="25"/>
        <v>0</v>
      </c>
      <c r="Q18" s="188">
        <f t="shared" ref="Q18" si="26">SUM(Q19:Q20)</f>
        <v>56997062.620880008</v>
      </c>
      <c r="R18" s="249">
        <f t="shared" si="4"/>
        <v>0.95289904333334452</v>
      </c>
      <c r="S18" s="145">
        <f t="shared" ref="S18:Y18" si="27">SUM(S19:S20)</f>
        <v>63534792.799999997</v>
      </c>
      <c r="T18" s="181">
        <f t="shared" si="21"/>
        <v>0.98420228653545538</v>
      </c>
      <c r="U18" s="65">
        <f>SUM(U19:U20)</f>
        <v>58878559.410000004</v>
      </c>
      <c r="V18" s="181">
        <f t="shared" si="22"/>
        <v>0.98435463784902422</v>
      </c>
      <c r="W18" s="65">
        <f t="shared" si="27"/>
        <v>63534792.799999997</v>
      </c>
      <c r="X18" s="65">
        <f t="shared" si="27"/>
        <v>4656233.389999995</v>
      </c>
      <c r="Y18" s="111">
        <f t="shared" si="27"/>
        <v>0</v>
      </c>
      <c r="Z18" s="110">
        <f t="shared" ref="Z18:AI18" si="28">SUM(Z19:Z20)</f>
        <v>63570369.700000003</v>
      </c>
      <c r="AA18" s="65">
        <f t="shared" si="28"/>
        <v>58910418.670000002</v>
      </c>
      <c r="AB18" s="65">
        <f t="shared" si="28"/>
        <v>63570369.700000003</v>
      </c>
      <c r="AC18" s="65">
        <f t="shared" si="28"/>
        <v>4659951.0299999984</v>
      </c>
      <c r="AD18" s="111">
        <f t="shared" si="28"/>
        <v>0</v>
      </c>
      <c r="AE18" s="110">
        <f t="shared" si="28"/>
        <v>35576.9</v>
      </c>
      <c r="AF18" s="65">
        <f t="shared" si="28"/>
        <v>31859.26</v>
      </c>
      <c r="AG18" s="65">
        <f t="shared" si="28"/>
        <v>35576.9</v>
      </c>
      <c r="AH18" s="65">
        <f t="shared" si="28"/>
        <v>3717.64</v>
      </c>
      <c r="AI18" s="111">
        <f t="shared" si="28"/>
        <v>0</v>
      </c>
      <c r="AJ18" s="122"/>
      <c r="AK18" s="111"/>
    </row>
    <row r="19" spans="1:37" ht="49.5" outlineLevel="1">
      <c r="A19" s="234" t="s">
        <v>285</v>
      </c>
      <c r="B19" s="183" t="s">
        <v>102</v>
      </c>
      <c r="C19" s="182" t="s">
        <v>89</v>
      </c>
      <c r="D19" s="182" t="s">
        <v>8</v>
      </c>
      <c r="E19" s="178" t="s">
        <v>52</v>
      </c>
      <c r="F19" s="179">
        <v>12</v>
      </c>
      <c r="G19" s="61">
        <v>11668995</v>
      </c>
      <c r="H19" s="103">
        <v>10447581</v>
      </c>
      <c r="I19" s="198">
        <v>0.89710000000000001</v>
      </c>
      <c r="J19" s="220">
        <f>K19*I19</f>
        <v>10070746.484173004</v>
      </c>
      <c r="K19" s="145">
        <v>11225890.630000005</v>
      </c>
      <c r="L19" s="61">
        <v>10050537.830000008</v>
      </c>
      <c r="M19" s="181">
        <f t="shared" si="19"/>
        <v>0.96199664113635563</v>
      </c>
      <c r="N19" s="61">
        <f>K19-P19</f>
        <v>11225890.630000005</v>
      </c>
      <c r="O19" s="61">
        <f t="shared" si="14"/>
        <v>1175352.799999997</v>
      </c>
      <c r="P19" s="103">
        <v>0</v>
      </c>
      <c r="Q19" s="188">
        <f>S19*I19</f>
        <v>10125509.047601994</v>
      </c>
      <c r="R19" s="249">
        <f t="shared" si="4"/>
        <v>0.96917258144272767</v>
      </c>
      <c r="S19" s="145">
        <f t="shared" si="15"/>
        <v>11286934.619999994</v>
      </c>
      <c r="T19" s="181">
        <f t="shared" si="21"/>
        <v>0.9672585016961609</v>
      </c>
      <c r="U19" s="61">
        <f>AA19-AF19</f>
        <v>10105186.389999995</v>
      </c>
      <c r="V19" s="181">
        <f t="shared" si="22"/>
        <v>0.96722737923735602</v>
      </c>
      <c r="W19" s="140">
        <f>S19-Y19</f>
        <v>11286934.619999994</v>
      </c>
      <c r="X19" s="140">
        <f>S19-U19-Y19</f>
        <v>1181748.2299999986</v>
      </c>
      <c r="Y19" s="111">
        <f t="shared" ref="Y19:Y91" si="29">AD19-AI19</f>
        <v>0</v>
      </c>
      <c r="Z19" s="108">
        <v>11322321.199999994</v>
      </c>
      <c r="AA19" s="61">
        <v>10136867.989999995</v>
      </c>
      <c r="AB19" s="61">
        <v>11322321.199999992</v>
      </c>
      <c r="AC19" s="61">
        <v>1185453.2099999981</v>
      </c>
      <c r="AD19" s="109">
        <v>0</v>
      </c>
      <c r="AE19" s="108">
        <v>35386.58</v>
      </c>
      <c r="AF19" s="61">
        <v>31681.599999999999</v>
      </c>
      <c r="AG19" s="61">
        <v>35386.58</v>
      </c>
      <c r="AH19" s="61">
        <v>3704.98</v>
      </c>
      <c r="AI19" s="109">
        <v>0</v>
      </c>
      <c r="AJ19" s="122"/>
      <c r="AK19" s="111"/>
    </row>
    <row r="20" spans="1:37" ht="49.5" outlineLevel="1">
      <c r="A20" s="234" t="s">
        <v>103</v>
      </c>
      <c r="B20" s="183" t="s">
        <v>104</v>
      </c>
      <c r="C20" s="182" t="s">
        <v>89</v>
      </c>
      <c r="D20" s="182" t="s">
        <v>8</v>
      </c>
      <c r="E20" s="178" t="s">
        <v>52</v>
      </c>
      <c r="F20" s="179">
        <v>12</v>
      </c>
      <c r="G20" s="96">
        <v>52885613</v>
      </c>
      <c r="H20" s="103">
        <v>49366796</v>
      </c>
      <c r="I20" s="198">
        <v>0.89710000000000001</v>
      </c>
      <c r="J20" s="220">
        <f>K20*I20</f>
        <v>46929997.718484022</v>
      </c>
      <c r="K20" s="145">
        <v>52313006.040000021</v>
      </c>
      <c r="L20" s="61">
        <v>48834188.869999997</v>
      </c>
      <c r="M20" s="181">
        <f t="shared" si="19"/>
        <v>0.98921122752223978</v>
      </c>
      <c r="N20" s="61">
        <f>K20-P20</f>
        <v>52313006.040000021</v>
      </c>
      <c r="O20" s="61">
        <f t="shared" si="14"/>
        <v>3478817.1700000241</v>
      </c>
      <c r="P20" s="103">
        <v>0</v>
      </c>
      <c r="Q20" s="188">
        <f>S20*I20</f>
        <v>46871553.57327801</v>
      </c>
      <c r="R20" s="249">
        <f t="shared" si="4"/>
        <v>0.94945504612610487</v>
      </c>
      <c r="S20" s="145">
        <f t="shared" si="15"/>
        <v>52247858.180000007</v>
      </c>
      <c r="T20" s="181">
        <f t="shared" si="21"/>
        <v>0.98794086361445799</v>
      </c>
      <c r="U20" s="61">
        <f>AA20-AF20</f>
        <v>48773373.020000011</v>
      </c>
      <c r="V20" s="181">
        <f t="shared" si="22"/>
        <v>0.98797930941274803</v>
      </c>
      <c r="W20" s="140">
        <f>S20-Y20</f>
        <v>52247858.180000007</v>
      </c>
      <c r="X20" s="140">
        <f>S20-U20-Y20</f>
        <v>3474485.1599999964</v>
      </c>
      <c r="Y20" s="111">
        <f>AD20-AI20</f>
        <v>0</v>
      </c>
      <c r="Z20" s="131">
        <v>52248048.500000007</v>
      </c>
      <c r="AA20" s="63">
        <v>48773550.680000007</v>
      </c>
      <c r="AB20" s="63">
        <v>52248048.500000007</v>
      </c>
      <c r="AC20" s="63">
        <v>3474497.8200000003</v>
      </c>
      <c r="AD20" s="132">
        <v>0</v>
      </c>
      <c r="AE20" s="131">
        <v>190.32</v>
      </c>
      <c r="AF20" s="63">
        <v>177.66</v>
      </c>
      <c r="AG20" s="63">
        <v>190.32</v>
      </c>
      <c r="AH20" s="63">
        <v>12.66</v>
      </c>
      <c r="AI20" s="132">
        <v>0</v>
      </c>
      <c r="AJ20" s="122"/>
      <c r="AK20" s="111"/>
    </row>
    <row r="21" spans="1:37" s="32" customFormat="1" ht="49.5" outlineLevel="1">
      <c r="A21" s="236" t="s">
        <v>105</v>
      </c>
      <c r="B21" s="176" t="s">
        <v>106</v>
      </c>
      <c r="C21" s="177" t="s">
        <v>89</v>
      </c>
      <c r="D21" s="177" t="s">
        <v>8</v>
      </c>
      <c r="E21" s="178"/>
      <c r="F21" s="179"/>
      <c r="G21" s="61">
        <f>SUM(G22:G23)</f>
        <v>1424999</v>
      </c>
      <c r="H21" s="102">
        <f>SUM(H22:H23)</f>
        <v>1424999</v>
      </c>
      <c r="I21" s="198">
        <v>0.89710000000000001</v>
      </c>
      <c r="J21" s="108">
        <f>SUM(J22:J23)</f>
        <v>1276756.1648639999</v>
      </c>
      <c r="K21" s="144">
        <f>SUM(K22:K23)</f>
        <v>1423203.8399999999</v>
      </c>
      <c r="L21" s="61">
        <f>SUM(L22:L23)</f>
        <v>1423203.8399999999</v>
      </c>
      <c r="M21" s="181">
        <f t="shared" si="19"/>
        <v>0.99874023771244747</v>
      </c>
      <c r="N21" s="61">
        <f>SUM(N22:N23)</f>
        <v>1423203.8399999999</v>
      </c>
      <c r="O21" s="61">
        <f t="shared" ref="O21" si="30">SUM(O22:O23)</f>
        <v>0</v>
      </c>
      <c r="P21" s="102">
        <f>SUM(P22:P23)</f>
        <v>0</v>
      </c>
      <c r="Q21" s="163">
        <f>SUM(Q22:Q23)</f>
        <v>1283594.3903530003</v>
      </c>
      <c r="R21" s="249">
        <f t="shared" si="4"/>
        <v>0.90076862534850921</v>
      </c>
      <c r="S21" s="144">
        <f>SUM(S22:S23)</f>
        <v>1430826.4300000004</v>
      </c>
      <c r="T21" s="181">
        <f t="shared" si="21"/>
        <v>1.0040894274311774</v>
      </c>
      <c r="U21" s="61">
        <f>SUM(U22:U23)</f>
        <v>1430826.4300000004</v>
      </c>
      <c r="V21" s="181">
        <f t="shared" si="22"/>
        <v>1.0040894274311774</v>
      </c>
      <c r="W21" s="61">
        <f t="shared" ref="W21:Y21" si="31">SUM(W22:W23)</f>
        <v>1430826.4300000004</v>
      </c>
      <c r="X21" s="61">
        <f t="shared" si="31"/>
        <v>0</v>
      </c>
      <c r="Y21" s="109">
        <f t="shared" si="31"/>
        <v>0</v>
      </c>
      <c r="Z21" s="108">
        <f t="shared" ref="Z21:AI21" si="32">SUM(Z22:Z23)</f>
        <v>1430826.4300000004</v>
      </c>
      <c r="AA21" s="61">
        <f t="shared" si="32"/>
        <v>1430826.4300000004</v>
      </c>
      <c r="AB21" s="61">
        <f t="shared" si="32"/>
        <v>1430826.4300000004</v>
      </c>
      <c r="AC21" s="61">
        <f t="shared" si="32"/>
        <v>0</v>
      </c>
      <c r="AD21" s="109">
        <f t="shared" si="32"/>
        <v>0</v>
      </c>
      <c r="AE21" s="108">
        <f t="shared" si="32"/>
        <v>0</v>
      </c>
      <c r="AF21" s="61">
        <f t="shared" si="32"/>
        <v>0</v>
      </c>
      <c r="AG21" s="61">
        <f t="shared" si="32"/>
        <v>0</v>
      </c>
      <c r="AH21" s="61">
        <f t="shared" si="32"/>
        <v>0</v>
      </c>
      <c r="AI21" s="109">
        <f t="shared" si="32"/>
        <v>0</v>
      </c>
      <c r="AJ21" s="120"/>
      <c r="AK21" s="109"/>
    </row>
    <row r="22" spans="1:37" ht="99" outlineLevel="1">
      <c r="A22" s="234" t="s">
        <v>107</v>
      </c>
      <c r="B22" s="183" t="s">
        <v>108</v>
      </c>
      <c r="C22" s="182" t="s">
        <v>89</v>
      </c>
      <c r="D22" s="182" t="s">
        <v>8</v>
      </c>
      <c r="E22" s="178" t="s">
        <v>52</v>
      </c>
      <c r="F22" s="179">
        <v>12</v>
      </c>
      <c r="G22" s="61">
        <v>1424999</v>
      </c>
      <c r="H22" s="103">
        <v>1424999</v>
      </c>
      <c r="I22" s="198">
        <v>0.89710000000000001</v>
      </c>
      <c r="J22" s="220">
        <f>K22*I22</f>
        <v>1276756.1648639999</v>
      </c>
      <c r="K22" s="145">
        <v>1423203.8399999999</v>
      </c>
      <c r="L22" s="61">
        <v>1423203.8399999999</v>
      </c>
      <c r="M22" s="181">
        <f t="shared" si="19"/>
        <v>0.99874023771244747</v>
      </c>
      <c r="N22" s="61">
        <f t="shared" ref="N22:N90" si="33">K22-P22</f>
        <v>1423203.8399999999</v>
      </c>
      <c r="O22" s="61">
        <f t="shared" ref="O22:O90" si="34">N22-L22</f>
        <v>0</v>
      </c>
      <c r="P22" s="103">
        <v>0</v>
      </c>
      <c r="Q22" s="188">
        <f>S22*I22</f>
        <v>1283594.3903530003</v>
      </c>
      <c r="R22" s="249">
        <f t="shared" si="4"/>
        <v>0.90076862534850921</v>
      </c>
      <c r="S22" s="145">
        <f t="shared" si="15"/>
        <v>1430826.4300000004</v>
      </c>
      <c r="T22" s="181">
        <f t="shared" si="21"/>
        <v>1.0040894274311774</v>
      </c>
      <c r="U22" s="61">
        <f>AA22-AF22</f>
        <v>1430826.4300000004</v>
      </c>
      <c r="V22" s="181">
        <f t="shared" si="22"/>
        <v>1.0040894274311774</v>
      </c>
      <c r="W22" s="140">
        <f>S22-Y22</f>
        <v>1430826.4300000004</v>
      </c>
      <c r="X22" s="140">
        <f>S22-U22-Y22</f>
        <v>0</v>
      </c>
      <c r="Y22" s="111">
        <f t="shared" si="29"/>
        <v>0</v>
      </c>
      <c r="Z22" s="108">
        <v>1430826.4300000004</v>
      </c>
      <c r="AA22" s="61">
        <v>1430826.4300000004</v>
      </c>
      <c r="AB22" s="61">
        <v>1430826.4300000004</v>
      </c>
      <c r="AC22" s="61">
        <v>0</v>
      </c>
      <c r="AD22" s="109">
        <v>0</v>
      </c>
      <c r="AE22" s="108">
        <v>0</v>
      </c>
      <c r="AF22" s="61">
        <v>0</v>
      </c>
      <c r="AG22" s="61">
        <v>0</v>
      </c>
      <c r="AH22" s="61">
        <v>0</v>
      </c>
      <c r="AI22" s="109">
        <v>0</v>
      </c>
      <c r="AJ22" s="122"/>
      <c r="AK22" s="111"/>
    </row>
    <row r="23" spans="1:37" ht="75.75" customHeight="1" outlineLevel="1">
      <c r="A23" s="234" t="s">
        <v>109</v>
      </c>
      <c r="B23" s="183" t="s">
        <v>110</v>
      </c>
      <c r="C23" s="182" t="s">
        <v>89</v>
      </c>
      <c r="D23" s="182" t="s">
        <v>8</v>
      </c>
      <c r="E23" s="178"/>
      <c r="F23" s="179"/>
      <c r="G23" s="61">
        <v>0</v>
      </c>
      <c r="H23" s="103">
        <v>0</v>
      </c>
      <c r="I23" s="198">
        <v>0.89710000000000001</v>
      </c>
      <c r="J23" s="220">
        <f>K23*I23</f>
        <v>0</v>
      </c>
      <c r="K23" s="145">
        <v>0</v>
      </c>
      <c r="L23" s="61">
        <f t="shared" si="16"/>
        <v>0</v>
      </c>
      <c r="M23" s="181">
        <v>0</v>
      </c>
      <c r="N23" s="61">
        <f t="shared" si="33"/>
        <v>0</v>
      </c>
      <c r="O23" s="61">
        <f t="shared" si="34"/>
        <v>0</v>
      </c>
      <c r="P23" s="103">
        <v>0</v>
      </c>
      <c r="Q23" s="188">
        <v>0</v>
      </c>
      <c r="R23" s="249">
        <v>0</v>
      </c>
      <c r="S23" s="145">
        <f t="shared" si="15"/>
        <v>0</v>
      </c>
      <c r="T23" s="181">
        <v>0</v>
      </c>
      <c r="U23" s="61">
        <f>AA23-AF23</f>
        <v>0</v>
      </c>
      <c r="V23" s="181">
        <v>0</v>
      </c>
      <c r="W23" s="140">
        <f>S23-Y23</f>
        <v>0</v>
      </c>
      <c r="X23" s="140">
        <f>S23-U23-Y23</f>
        <v>0</v>
      </c>
      <c r="Y23" s="111">
        <f t="shared" si="29"/>
        <v>0</v>
      </c>
      <c r="Z23" s="108">
        <v>0</v>
      </c>
      <c r="AA23" s="61">
        <v>0</v>
      </c>
      <c r="AB23" s="61">
        <v>0</v>
      </c>
      <c r="AC23" s="61">
        <v>0</v>
      </c>
      <c r="AD23" s="109">
        <v>0</v>
      </c>
      <c r="AE23" s="108">
        <v>0</v>
      </c>
      <c r="AF23" s="61">
        <v>0</v>
      </c>
      <c r="AG23" s="61">
        <v>0</v>
      </c>
      <c r="AH23" s="61">
        <v>0</v>
      </c>
      <c r="AI23" s="109">
        <v>0</v>
      </c>
      <c r="AJ23" s="122"/>
      <c r="AK23" s="111"/>
    </row>
    <row r="24" spans="1:37" s="32" customFormat="1" ht="33">
      <c r="A24" s="230" t="s">
        <v>111</v>
      </c>
      <c r="B24" s="167" t="s">
        <v>112</v>
      </c>
      <c r="C24" s="168" t="s">
        <v>89</v>
      </c>
      <c r="D24" s="168" t="s">
        <v>0</v>
      </c>
      <c r="E24" s="169"/>
      <c r="F24" s="170"/>
      <c r="G24" s="59">
        <f>G25+G35</f>
        <v>146090962</v>
      </c>
      <c r="H24" s="105">
        <f>H25+H35</f>
        <v>127788577</v>
      </c>
      <c r="I24" s="152">
        <v>0.87470000000000003</v>
      </c>
      <c r="J24" s="114">
        <f t="shared" ref="J24" si="35">J25+J35</f>
        <v>141989056.29116002</v>
      </c>
      <c r="K24" s="59">
        <f>K25+K35</f>
        <v>162328862.80000001</v>
      </c>
      <c r="L24" s="59">
        <f>L25+L35</f>
        <v>141965164.63000003</v>
      </c>
      <c r="M24" s="159">
        <f t="shared" ref="M24:M36" si="36">L24/H24</f>
        <v>1.1109378315559459</v>
      </c>
      <c r="N24" s="59">
        <f>N25+N35</f>
        <v>162315896.81999999</v>
      </c>
      <c r="O24" s="59">
        <f t="shared" ref="O24:P24" si="37">O25+O35</f>
        <v>20350732.189999994</v>
      </c>
      <c r="P24" s="59">
        <f t="shared" si="37"/>
        <v>12965.98</v>
      </c>
      <c r="Q24" s="248">
        <f t="shared" ref="Q24" si="38">Q25+Q35</f>
        <v>140104597.00433302</v>
      </c>
      <c r="R24" s="159">
        <f t="shared" si="4"/>
        <v>1.0963780980543592</v>
      </c>
      <c r="S24" s="142">
        <f>S25+S35</f>
        <v>160174456.39000002</v>
      </c>
      <c r="T24" s="159">
        <f t="shared" ref="T24:T36" si="39">S24/G24</f>
        <v>1.0964022291125717</v>
      </c>
      <c r="U24" s="59">
        <f>U25+U35</f>
        <v>140088512.10000002</v>
      </c>
      <c r="V24" s="159">
        <f t="shared" ref="V24:V36" si="40">U24/H24</f>
        <v>1.0962522268324502</v>
      </c>
      <c r="W24" s="59">
        <f>W25+W35</f>
        <v>160161439.97000003</v>
      </c>
      <c r="X24" s="59">
        <f>X25+X35</f>
        <v>20072927.869999997</v>
      </c>
      <c r="Y24" s="115">
        <f t="shared" ref="Y24" si="41">Y25+Y35</f>
        <v>13016.419999999998</v>
      </c>
      <c r="Z24" s="114">
        <f t="shared" ref="Z24:AI24" si="42">Z25+Z35</f>
        <v>160198498.77000001</v>
      </c>
      <c r="AA24" s="59">
        <f t="shared" si="42"/>
        <v>140111000.36000001</v>
      </c>
      <c r="AB24" s="59">
        <f t="shared" si="42"/>
        <v>160185482.35000002</v>
      </c>
      <c r="AC24" s="59">
        <f t="shared" si="42"/>
        <v>20074481.989999998</v>
      </c>
      <c r="AD24" s="115">
        <f t="shared" si="42"/>
        <v>13016.419999999998</v>
      </c>
      <c r="AE24" s="114">
        <f t="shared" si="42"/>
        <v>24042.379999999997</v>
      </c>
      <c r="AF24" s="59">
        <f t="shared" si="42"/>
        <v>22488.26</v>
      </c>
      <c r="AG24" s="59">
        <f t="shared" si="42"/>
        <v>24042.379999999997</v>
      </c>
      <c r="AH24" s="59">
        <f t="shared" si="42"/>
        <v>1554.1200000000001</v>
      </c>
      <c r="AI24" s="115">
        <f t="shared" si="42"/>
        <v>0</v>
      </c>
      <c r="AJ24" s="123">
        <v>105283376.32000001</v>
      </c>
      <c r="AK24" s="237">
        <f>AJ24/H24</f>
        <v>0.82388722679023185</v>
      </c>
    </row>
    <row r="25" spans="1:37" s="32" customFormat="1" ht="66">
      <c r="A25" s="232" t="s">
        <v>113</v>
      </c>
      <c r="B25" s="171" t="s">
        <v>114</v>
      </c>
      <c r="C25" s="172" t="s">
        <v>89</v>
      </c>
      <c r="D25" s="172" t="s">
        <v>8</v>
      </c>
      <c r="E25" s="173"/>
      <c r="F25" s="197"/>
      <c r="G25" s="60">
        <f>G26+G31</f>
        <v>94451904</v>
      </c>
      <c r="H25" s="104">
        <f>H26+H31</f>
        <v>81307104</v>
      </c>
      <c r="I25" s="153">
        <v>0.87470000000000003</v>
      </c>
      <c r="J25" s="112">
        <f>J26+J31</f>
        <v>95005755.553742021</v>
      </c>
      <c r="K25" s="58">
        <f>K26+K31</f>
        <v>108615245.86000001</v>
      </c>
      <c r="L25" s="58">
        <f>L26+L31</f>
        <v>93383158.890000015</v>
      </c>
      <c r="M25" s="175">
        <f t="shared" si="36"/>
        <v>1.1485239824800551</v>
      </c>
      <c r="N25" s="60">
        <f>K25-P25</f>
        <v>108602279.88000001</v>
      </c>
      <c r="O25" s="60">
        <f t="shared" si="34"/>
        <v>15219120.989999995</v>
      </c>
      <c r="P25" s="104">
        <f t="shared" ref="P25:Y25" si="43">P26+P31</f>
        <v>12965.98</v>
      </c>
      <c r="Q25" s="189">
        <f t="shared" ref="Q25" si="44">Q26+Q31</f>
        <v>93471828.521958023</v>
      </c>
      <c r="R25" s="175">
        <f t="shared" si="4"/>
        <v>1.1496145345670905</v>
      </c>
      <c r="S25" s="146">
        <f t="shared" si="43"/>
        <v>106861585.14000002</v>
      </c>
      <c r="T25" s="175">
        <f t="shared" si="39"/>
        <v>1.1313862464858306</v>
      </c>
      <c r="U25" s="58">
        <f t="shared" si="43"/>
        <v>91895541.650000021</v>
      </c>
      <c r="V25" s="175">
        <f t="shared" si="40"/>
        <v>1.1302277061792783</v>
      </c>
      <c r="W25" s="58">
        <f t="shared" si="43"/>
        <v>106848568.72000003</v>
      </c>
      <c r="X25" s="58">
        <f t="shared" si="43"/>
        <v>14953027.07</v>
      </c>
      <c r="Y25" s="113">
        <f t="shared" si="43"/>
        <v>13016.419999999998</v>
      </c>
      <c r="Z25" s="118">
        <f t="shared" ref="Z25:AI25" si="45">Z26+Z31</f>
        <v>106873537.83000001</v>
      </c>
      <c r="AA25" s="60">
        <f t="shared" si="45"/>
        <v>91905964.710000008</v>
      </c>
      <c r="AB25" s="60">
        <f t="shared" si="45"/>
        <v>106860521.41000003</v>
      </c>
      <c r="AC25" s="60">
        <f t="shared" si="45"/>
        <v>14954556.699999999</v>
      </c>
      <c r="AD25" s="119">
        <f t="shared" si="45"/>
        <v>13016.419999999998</v>
      </c>
      <c r="AE25" s="118">
        <f t="shared" si="45"/>
        <v>11952.689999999999</v>
      </c>
      <c r="AF25" s="60">
        <f t="shared" si="45"/>
        <v>10423.06</v>
      </c>
      <c r="AG25" s="60">
        <f t="shared" si="45"/>
        <v>11952.689999999999</v>
      </c>
      <c r="AH25" s="60">
        <f t="shared" si="45"/>
        <v>1529.63</v>
      </c>
      <c r="AI25" s="119">
        <f t="shared" si="45"/>
        <v>0</v>
      </c>
      <c r="AJ25" s="124"/>
      <c r="AK25" s="113"/>
    </row>
    <row r="26" spans="1:37" ht="82.5" outlineLevel="1">
      <c r="A26" s="236" t="s">
        <v>115</v>
      </c>
      <c r="B26" s="176" t="s">
        <v>116</v>
      </c>
      <c r="C26" s="177" t="s">
        <v>89</v>
      </c>
      <c r="D26" s="177" t="s">
        <v>8</v>
      </c>
      <c r="E26" s="178"/>
      <c r="F26" s="179"/>
      <c r="G26" s="61">
        <f>SUM(G27:G30)</f>
        <v>66577831</v>
      </c>
      <c r="H26" s="103">
        <f>SUM(H27:H30)</f>
        <v>57614145</v>
      </c>
      <c r="I26" s="198">
        <v>0.87470000000000003</v>
      </c>
      <c r="J26" s="110">
        <f>SUM(J27:J30)</f>
        <v>70533629.13104701</v>
      </c>
      <c r="K26" s="145">
        <f>SUM(K27:K30)</f>
        <v>80637509.010000005</v>
      </c>
      <c r="L26" s="65">
        <f>SUM(L27:L30)</f>
        <v>69643993.800000012</v>
      </c>
      <c r="M26" s="181">
        <f t="shared" si="36"/>
        <v>1.2088002659763504</v>
      </c>
      <c r="N26" s="61">
        <f>SUM(N27:N30)</f>
        <v>80624543.030000001</v>
      </c>
      <c r="O26" s="61">
        <f t="shared" ref="O26" si="46">SUM(O27:O30)</f>
        <v>10980549.229999997</v>
      </c>
      <c r="P26" s="102">
        <f>SUM(P27:P30)</f>
        <v>12965.98</v>
      </c>
      <c r="Q26" s="188">
        <f>SUM(Q27:Q30)</f>
        <v>69389369.551922023</v>
      </c>
      <c r="R26" s="249">
        <f t="shared" si="4"/>
        <v>1.2043807914171429</v>
      </c>
      <c r="S26" s="145">
        <f>SUM(S27:S30)</f>
        <v>79329335.26000002</v>
      </c>
      <c r="T26" s="181">
        <f t="shared" si="39"/>
        <v>1.191527781372151</v>
      </c>
      <c r="U26" s="65">
        <f t="shared" ref="U26:Y26" si="47">SUM(U27:U30)</f>
        <v>68493131.200000018</v>
      </c>
      <c r="V26" s="181">
        <f t="shared" si="40"/>
        <v>1.1888249179086146</v>
      </c>
      <c r="W26" s="65">
        <f t="shared" si="47"/>
        <v>79316318.840000018</v>
      </c>
      <c r="X26" s="65">
        <f t="shared" si="47"/>
        <v>10823187.640000001</v>
      </c>
      <c r="Y26" s="111">
        <f t="shared" si="47"/>
        <v>13016.419999999998</v>
      </c>
      <c r="Z26" s="108">
        <f t="shared" ref="Z26:AI26" si="48">SUM(Z27:Z30)</f>
        <v>79340388.560000017</v>
      </c>
      <c r="AA26" s="61">
        <f t="shared" si="48"/>
        <v>68502789.780000016</v>
      </c>
      <c r="AB26" s="61">
        <f t="shared" si="48"/>
        <v>79327372.140000015</v>
      </c>
      <c r="AC26" s="61">
        <f t="shared" si="48"/>
        <v>10824582.359999999</v>
      </c>
      <c r="AD26" s="109">
        <f t="shared" si="48"/>
        <v>13016.419999999998</v>
      </c>
      <c r="AE26" s="108">
        <f t="shared" si="48"/>
        <v>11053.3</v>
      </c>
      <c r="AF26" s="61">
        <f t="shared" si="48"/>
        <v>9658.58</v>
      </c>
      <c r="AG26" s="61">
        <f t="shared" si="48"/>
        <v>11053.3</v>
      </c>
      <c r="AH26" s="61">
        <f t="shared" si="48"/>
        <v>1394.72</v>
      </c>
      <c r="AI26" s="109">
        <f t="shared" si="48"/>
        <v>0</v>
      </c>
      <c r="AJ26" s="122"/>
      <c r="AK26" s="111"/>
    </row>
    <row r="27" spans="1:37" s="28" customFormat="1" ht="115.5" outlineLevel="1">
      <c r="A27" s="234" t="s">
        <v>117</v>
      </c>
      <c r="B27" s="183" t="s">
        <v>118</v>
      </c>
      <c r="C27" s="182" t="s">
        <v>89</v>
      </c>
      <c r="D27" s="182" t="s">
        <v>8</v>
      </c>
      <c r="E27" s="178" t="s">
        <v>119</v>
      </c>
      <c r="F27" s="179">
        <v>12</v>
      </c>
      <c r="G27" s="61">
        <v>3405530</v>
      </c>
      <c r="H27" s="102">
        <v>3405530</v>
      </c>
      <c r="I27" s="198">
        <v>0.87470000000000003</v>
      </c>
      <c r="J27" s="220">
        <f>K27*I27</f>
        <v>3192659.5309460005</v>
      </c>
      <c r="K27" s="144">
        <v>3650005.18</v>
      </c>
      <c r="L27" s="61">
        <v>3650005.1799999997</v>
      </c>
      <c r="M27" s="181">
        <f t="shared" si="36"/>
        <v>1.0717877041165398</v>
      </c>
      <c r="N27" s="61">
        <f t="shared" si="33"/>
        <v>3650005.18</v>
      </c>
      <c r="O27" s="61">
        <f t="shared" si="34"/>
        <v>0</v>
      </c>
      <c r="P27" s="102">
        <v>0</v>
      </c>
      <c r="Q27" s="163">
        <f>S27*I27</f>
        <v>2983456.998379</v>
      </c>
      <c r="R27" s="249">
        <f t="shared" si="4"/>
        <v>0.87606246263547816</v>
      </c>
      <c r="S27" s="145">
        <f t="shared" si="15"/>
        <v>3410834.57</v>
      </c>
      <c r="T27" s="181">
        <f t="shared" si="39"/>
        <v>1.0015576342008439</v>
      </c>
      <c r="U27" s="61">
        <f>AA27-AF27</f>
        <v>3410834.57</v>
      </c>
      <c r="V27" s="181">
        <f t="shared" si="40"/>
        <v>1.0015576342008439</v>
      </c>
      <c r="W27" s="140">
        <f>S27-Y27</f>
        <v>3410834.57</v>
      </c>
      <c r="X27" s="140">
        <f>S27-U27-Y27</f>
        <v>0</v>
      </c>
      <c r="Y27" s="109">
        <f t="shared" si="29"/>
        <v>0</v>
      </c>
      <c r="Z27" s="108">
        <v>3410834.57</v>
      </c>
      <c r="AA27" s="61">
        <v>3410834.57</v>
      </c>
      <c r="AB27" s="61">
        <v>3410834.57</v>
      </c>
      <c r="AC27" s="61">
        <v>0</v>
      </c>
      <c r="AD27" s="109">
        <v>0</v>
      </c>
      <c r="AE27" s="108">
        <v>0</v>
      </c>
      <c r="AF27" s="61">
        <v>0</v>
      </c>
      <c r="AG27" s="61">
        <v>0</v>
      </c>
      <c r="AH27" s="61">
        <v>0</v>
      </c>
      <c r="AI27" s="109">
        <v>0</v>
      </c>
      <c r="AJ27" s="120"/>
      <c r="AK27" s="109"/>
    </row>
    <row r="28" spans="1:37" s="32" customFormat="1" ht="82.5" outlineLevel="1">
      <c r="A28" s="234" t="s">
        <v>120</v>
      </c>
      <c r="B28" s="183" t="s">
        <v>121</v>
      </c>
      <c r="C28" s="182" t="s">
        <v>89</v>
      </c>
      <c r="D28" s="182" t="s">
        <v>8</v>
      </c>
      <c r="E28" s="178" t="s">
        <v>31</v>
      </c>
      <c r="F28" s="179">
        <v>12</v>
      </c>
      <c r="G28" s="61">
        <v>8520756</v>
      </c>
      <c r="H28" s="102">
        <v>7242636</v>
      </c>
      <c r="I28" s="198">
        <v>0.87470000000000003</v>
      </c>
      <c r="J28" s="220">
        <f t="shared" ref="J28:J30" si="49">K28*I28</f>
        <v>7866680.0262590023</v>
      </c>
      <c r="K28" s="144">
        <v>8993574.9700000025</v>
      </c>
      <c r="L28" s="61">
        <v>7637309.9899999993</v>
      </c>
      <c r="M28" s="181">
        <f t="shared" si="36"/>
        <v>1.0544931417235381</v>
      </c>
      <c r="N28" s="61">
        <f t="shared" si="33"/>
        <v>8993574.9700000025</v>
      </c>
      <c r="O28" s="61">
        <f t="shared" si="34"/>
        <v>1356264.9800000032</v>
      </c>
      <c r="P28" s="102">
        <v>0</v>
      </c>
      <c r="Q28" s="163">
        <f>S28*I28</f>
        <v>7430292.7298259987</v>
      </c>
      <c r="R28" s="249">
        <f t="shared" si="4"/>
        <v>1.0259100042893221</v>
      </c>
      <c r="S28" s="145">
        <f t="shared" si="15"/>
        <v>8494675.5799999982</v>
      </c>
      <c r="T28" s="181">
        <f t="shared" si="39"/>
        <v>0.99693918943342563</v>
      </c>
      <c r="U28" s="61">
        <f t="shared" ref="U28:U30" si="50">AA28-AF28</f>
        <v>7220474.1099999985</v>
      </c>
      <c r="V28" s="181">
        <f t="shared" si="40"/>
        <v>0.99694007955114661</v>
      </c>
      <c r="W28" s="140">
        <f>S28-Y28</f>
        <v>8494675.5799999982</v>
      </c>
      <c r="X28" s="140">
        <f>S28-U28-Y28</f>
        <v>1274201.4699999997</v>
      </c>
      <c r="Y28" s="109">
        <f t="shared" si="29"/>
        <v>0</v>
      </c>
      <c r="Z28" s="108">
        <v>8494675.5799999982</v>
      </c>
      <c r="AA28" s="61">
        <v>7220474.1099999985</v>
      </c>
      <c r="AB28" s="61">
        <v>8494675.5799999982</v>
      </c>
      <c r="AC28" s="61">
        <v>1274201.4699999995</v>
      </c>
      <c r="AD28" s="109">
        <v>0</v>
      </c>
      <c r="AE28" s="108">
        <v>0</v>
      </c>
      <c r="AF28" s="61">
        <v>0</v>
      </c>
      <c r="AG28" s="61">
        <v>0</v>
      </c>
      <c r="AH28" s="61">
        <v>0</v>
      </c>
      <c r="AI28" s="109">
        <v>0</v>
      </c>
      <c r="AJ28" s="120"/>
      <c r="AK28" s="109"/>
    </row>
    <row r="29" spans="1:37" ht="115.5" outlineLevel="1">
      <c r="A29" s="234" t="s">
        <v>270</v>
      </c>
      <c r="B29" s="183" t="s">
        <v>122</v>
      </c>
      <c r="C29" s="182" t="s">
        <v>89</v>
      </c>
      <c r="D29" s="182" t="s">
        <v>8</v>
      </c>
      <c r="E29" s="178" t="s">
        <v>119</v>
      </c>
      <c r="F29" s="179">
        <v>12</v>
      </c>
      <c r="G29" s="61">
        <v>14337199</v>
      </c>
      <c r="H29" s="103">
        <v>12591671</v>
      </c>
      <c r="I29" s="198">
        <v>0.87470000000000003</v>
      </c>
      <c r="J29" s="220">
        <f t="shared" si="49"/>
        <v>12921960.961374002</v>
      </c>
      <c r="K29" s="145">
        <v>14773020.420000002</v>
      </c>
      <c r="L29" s="61">
        <v>12975210.180000009</v>
      </c>
      <c r="M29" s="181">
        <f t="shared" si="36"/>
        <v>1.0304597523235803</v>
      </c>
      <c r="N29" s="61">
        <f t="shared" si="33"/>
        <v>14760054.440000001</v>
      </c>
      <c r="O29" s="61">
        <f t="shared" si="34"/>
        <v>1784844.2599999923</v>
      </c>
      <c r="P29" s="103">
        <v>12965.98</v>
      </c>
      <c r="Q29" s="188">
        <f>S29*I29</f>
        <v>12542205.39044001</v>
      </c>
      <c r="R29" s="249">
        <f t="shared" si="4"/>
        <v>0.99607156114863626</v>
      </c>
      <c r="S29" s="145">
        <f t="shared" si="15"/>
        <v>14338865.20000001</v>
      </c>
      <c r="T29" s="181">
        <f t="shared" si="39"/>
        <v>1.000116215168668</v>
      </c>
      <c r="U29" s="61">
        <f t="shared" si="50"/>
        <v>12596277.180000009</v>
      </c>
      <c r="V29" s="181">
        <f t="shared" si="40"/>
        <v>1.0003658116543872</v>
      </c>
      <c r="W29" s="140">
        <f>S29-Y29</f>
        <v>14325848.780000011</v>
      </c>
      <c r="X29" s="140">
        <f>S29-U29-Y29</f>
        <v>1729571.6000000015</v>
      </c>
      <c r="Y29" s="111">
        <f t="shared" si="29"/>
        <v>13016.419999999998</v>
      </c>
      <c r="Z29" s="108">
        <v>14349918.500000011</v>
      </c>
      <c r="AA29" s="61">
        <v>12605935.760000009</v>
      </c>
      <c r="AB29" s="61">
        <v>14336902.080000011</v>
      </c>
      <c r="AC29" s="61">
        <v>1730966.3200000005</v>
      </c>
      <c r="AD29" s="109">
        <v>13016.419999999998</v>
      </c>
      <c r="AE29" s="108">
        <v>11053.3</v>
      </c>
      <c r="AF29" s="61">
        <v>9658.58</v>
      </c>
      <c r="AG29" s="61">
        <v>11053.3</v>
      </c>
      <c r="AH29" s="61">
        <v>1394.72</v>
      </c>
      <c r="AI29" s="109">
        <v>0</v>
      </c>
      <c r="AJ29" s="122"/>
      <c r="AK29" s="111"/>
    </row>
    <row r="30" spans="1:37" ht="66" outlineLevel="1">
      <c r="A30" s="234" t="s">
        <v>271</v>
      </c>
      <c r="B30" s="183" t="s">
        <v>123</v>
      </c>
      <c r="C30" s="182" t="s">
        <v>89</v>
      </c>
      <c r="D30" s="182" t="s">
        <v>8</v>
      </c>
      <c r="E30" s="178" t="s">
        <v>31</v>
      </c>
      <c r="F30" s="179">
        <v>12</v>
      </c>
      <c r="G30" s="61">
        <v>40314346</v>
      </c>
      <c r="H30" s="103">
        <v>34374308</v>
      </c>
      <c r="I30" s="198">
        <v>0.87470000000000003</v>
      </c>
      <c r="J30" s="220">
        <f t="shared" si="49"/>
        <v>46552328.612468004</v>
      </c>
      <c r="K30" s="145">
        <v>53220908.440000005</v>
      </c>
      <c r="L30" s="61">
        <v>45381468.450000003</v>
      </c>
      <c r="M30" s="181">
        <f t="shared" si="36"/>
        <v>1.3202147502140262</v>
      </c>
      <c r="N30" s="61">
        <f t="shared" si="33"/>
        <v>53220908.440000005</v>
      </c>
      <c r="O30" s="61">
        <f t="shared" si="34"/>
        <v>7839439.9900000021</v>
      </c>
      <c r="P30" s="103">
        <v>0</v>
      </c>
      <c r="Q30" s="188">
        <f>S30*I30</f>
        <v>46433414.433277011</v>
      </c>
      <c r="R30" s="249">
        <f t="shared" si="4"/>
        <v>1.3508174312418744</v>
      </c>
      <c r="S30" s="145">
        <f t="shared" si="15"/>
        <v>53084959.910000011</v>
      </c>
      <c r="T30" s="181">
        <f t="shared" si="39"/>
        <v>1.3167759166922866</v>
      </c>
      <c r="U30" s="61">
        <f t="shared" si="50"/>
        <v>45265545.340000011</v>
      </c>
      <c r="V30" s="181">
        <f t="shared" si="40"/>
        <v>1.3168423736704753</v>
      </c>
      <c r="W30" s="140">
        <f>S30-Y30</f>
        <v>53084959.910000011</v>
      </c>
      <c r="X30" s="140">
        <f>S30-U30-Y30</f>
        <v>7819414.5700000003</v>
      </c>
      <c r="Y30" s="111">
        <f t="shared" si="29"/>
        <v>0</v>
      </c>
      <c r="Z30" s="108">
        <v>53084959.910000011</v>
      </c>
      <c r="AA30" s="61">
        <v>45265545.340000011</v>
      </c>
      <c r="AB30" s="61">
        <v>53084959.910000011</v>
      </c>
      <c r="AC30" s="61">
        <v>7819414.5700000003</v>
      </c>
      <c r="AD30" s="109">
        <v>0</v>
      </c>
      <c r="AE30" s="108">
        <v>0</v>
      </c>
      <c r="AF30" s="61">
        <v>0</v>
      </c>
      <c r="AG30" s="61">
        <v>0</v>
      </c>
      <c r="AH30" s="61">
        <v>0</v>
      </c>
      <c r="AI30" s="109">
        <v>0</v>
      </c>
      <c r="AJ30" s="122"/>
      <c r="AK30" s="111"/>
    </row>
    <row r="31" spans="1:37" ht="49.5" outlineLevel="1">
      <c r="A31" s="236" t="s">
        <v>124</v>
      </c>
      <c r="B31" s="176" t="s">
        <v>125</v>
      </c>
      <c r="C31" s="177" t="s">
        <v>89</v>
      </c>
      <c r="D31" s="177" t="s">
        <v>8</v>
      </c>
      <c r="E31" s="178"/>
      <c r="F31" s="179"/>
      <c r="G31" s="61">
        <f>SUM(G32:G34)</f>
        <v>27874073</v>
      </c>
      <c r="H31" s="103">
        <f>SUM(H32:H34)</f>
        <v>23692959</v>
      </c>
      <c r="I31" s="198">
        <v>0.87470000000000003</v>
      </c>
      <c r="J31" s="110">
        <f>SUM(J32:J34)</f>
        <v>24472126.422695003</v>
      </c>
      <c r="K31" s="145">
        <f>SUM(K32:K34)</f>
        <v>27977736.850000001</v>
      </c>
      <c r="L31" s="65">
        <f>SUM(L32:L34)</f>
        <v>23739165.090000004</v>
      </c>
      <c r="M31" s="181">
        <f t="shared" si="36"/>
        <v>1.0019502034338557</v>
      </c>
      <c r="N31" s="61">
        <f>SUM(N32:N34)</f>
        <v>27977736.850000001</v>
      </c>
      <c r="O31" s="61">
        <f t="shared" ref="O31:P31" si="51">SUM(O32:O34)</f>
        <v>4238571.7599999979</v>
      </c>
      <c r="P31" s="102">
        <f t="shared" si="51"/>
        <v>0</v>
      </c>
      <c r="Q31" s="188">
        <f>SUM(Q32:Q34)</f>
        <v>24082458.970036</v>
      </c>
      <c r="R31" s="249">
        <f t="shared" si="4"/>
        <v>1.0164394818745941</v>
      </c>
      <c r="S31" s="145">
        <f>SUM(S32:S34)</f>
        <v>27532249.880000003</v>
      </c>
      <c r="T31" s="181">
        <f t="shared" si="39"/>
        <v>0.98773687935738719</v>
      </c>
      <c r="U31" s="65">
        <f>SUM(U32:U34)</f>
        <v>23402410.449999999</v>
      </c>
      <c r="V31" s="181">
        <f t="shared" si="40"/>
        <v>0.98773692429046112</v>
      </c>
      <c r="W31" s="65">
        <f>SUM(W32:W34)</f>
        <v>27532249.880000003</v>
      </c>
      <c r="X31" s="65">
        <f t="shared" ref="X31:Y31" si="52">SUM(X32:X34)</f>
        <v>4129839.4299999997</v>
      </c>
      <c r="Y31" s="111">
        <f t="shared" si="52"/>
        <v>0</v>
      </c>
      <c r="Z31" s="108">
        <f t="shared" ref="Z31:AI31" si="53">SUM(Z32:Z34)</f>
        <v>27533149.270000003</v>
      </c>
      <c r="AA31" s="61">
        <f t="shared" si="53"/>
        <v>23403174.93</v>
      </c>
      <c r="AB31" s="61">
        <f t="shared" si="53"/>
        <v>27533149.270000003</v>
      </c>
      <c r="AC31" s="61">
        <f t="shared" si="53"/>
        <v>4129974.3400000003</v>
      </c>
      <c r="AD31" s="109">
        <f t="shared" si="53"/>
        <v>0</v>
      </c>
      <c r="AE31" s="108">
        <f t="shared" si="53"/>
        <v>899.39</v>
      </c>
      <c r="AF31" s="61">
        <f t="shared" si="53"/>
        <v>764.48</v>
      </c>
      <c r="AG31" s="61">
        <f t="shared" si="53"/>
        <v>899.39</v>
      </c>
      <c r="AH31" s="61">
        <f t="shared" si="53"/>
        <v>134.91</v>
      </c>
      <c r="AI31" s="109">
        <f t="shared" si="53"/>
        <v>0</v>
      </c>
      <c r="AJ31" s="122"/>
      <c r="AK31" s="111"/>
    </row>
    <row r="32" spans="1:37" ht="115.5" outlineLevel="1">
      <c r="A32" s="234" t="s">
        <v>126</v>
      </c>
      <c r="B32" s="183" t="s">
        <v>127</v>
      </c>
      <c r="C32" s="182" t="s">
        <v>89</v>
      </c>
      <c r="D32" s="182" t="s">
        <v>8</v>
      </c>
      <c r="E32" s="178" t="s">
        <v>31</v>
      </c>
      <c r="F32" s="179">
        <v>12</v>
      </c>
      <c r="G32" s="61">
        <v>7036965</v>
      </c>
      <c r="H32" s="103">
        <v>5981418</v>
      </c>
      <c r="I32" s="198">
        <v>0.87470000000000003</v>
      </c>
      <c r="J32" s="220">
        <f>K32*I32</f>
        <v>6029608.7752829995</v>
      </c>
      <c r="K32" s="145">
        <v>6893344.8899999997</v>
      </c>
      <c r="L32" s="61">
        <v>5859343.0700000012</v>
      </c>
      <c r="M32" s="181">
        <f>L32/H32</f>
        <v>0.97959097157229291</v>
      </c>
      <c r="N32" s="61">
        <f t="shared" si="33"/>
        <v>6893344.8899999997</v>
      </c>
      <c r="O32" s="61">
        <f t="shared" si="34"/>
        <v>1034001.8199999984</v>
      </c>
      <c r="P32" s="103">
        <v>0</v>
      </c>
      <c r="Q32" s="188">
        <f>S32*I32</f>
        <v>6050441.8200750006</v>
      </c>
      <c r="R32" s="249">
        <f t="shared" si="4"/>
        <v>1.0115397084896927</v>
      </c>
      <c r="S32" s="145">
        <f t="shared" si="15"/>
        <v>6917162.25</v>
      </c>
      <c r="T32" s="181">
        <f t="shared" si="39"/>
        <v>0.98297522440427088</v>
      </c>
      <c r="U32" s="61">
        <f>AA32-AF32</f>
        <v>5879587.1299999999</v>
      </c>
      <c r="V32" s="181">
        <f t="shared" si="40"/>
        <v>0.98297546334330754</v>
      </c>
      <c r="W32" s="140">
        <f>S32-Y32</f>
        <v>6917162.25</v>
      </c>
      <c r="X32" s="140">
        <f>S32-U32-Y32</f>
        <v>1037575.1200000001</v>
      </c>
      <c r="Y32" s="111">
        <f t="shared" si="29"/>
        <v>0</v>
      </c>
      <c r="Z32" s="108">
        <v>6917162.25</v>
      </c>
      <c r="AA32" s="61">
        <v>5879587.1299999999</v>
      </c>
      <c r="AB32" s="61">
        <v>6917162.25</v>
      </c>
      <c r="AC32" s="61">
        <v>1037575.12</v>
      </c>
      <c r="AD32" s="109">
        <v>0</v>
      </c>
      <c r="AE32" s="108">
        <v>0</v>
      </c>
      <c r="AF32" s="61">
        <v>0</v>
      </c>
      <c r="AG32" s="61">
        <v>0</v>
      </c>
      <c r="AH32" s="61">
        <v>0</v>
      </c>
      <c r="AI32" s="109">
        <v>0</v>
      </c>
      <c r="AJ32" s="122"/>
      <c r="AK32" s="111"/>
    </row>
    <row r="33" spans="1:37" s="56" customFormat="1" ht="82.5" outlineLevel="1">
      <c r="A33" s="234" t="s">
        <v>128</v>
      </c>
      <c r="B33" s="183" t="s">
        <v>129</v>
      </c>
      <c r="C33" s="182" t="s">
        <v>89</v>
      </c>
      <c r="D33" s="182" t="s">
        <v>8</v>
      </c>
      <c r="E33" s="178" t="s">
        <v>31</v>
      </c>
      <c r="F33" s="179">
        <v>12</v>
      </c>
      <c r="G33" s="61">
        <v>15254522</v>
      </c>
      <c r="H33" s="103">
        <v>12966345</v>
      </c>
      <c r="I33" s="198">
        <v>0.87470000000000003</v>
      </c>
      <c r="J33" s="220">
        <f t="shared" ref="J33:J34" si="54">K33*I33</f>
        <v>13485118.056469001</v>
      </c>
      <c r="K33" s="145">
        <v>15416849.27</v>
      </c>
      <c r="L33" s="61">
        <v>13104321.790000001</v>
      </c>
      <c r="M33" s="181">
        <f t="shared" si="36"/>
        <v>1.0106411475246109</v>
      </c>
      <c r="N33" s="61">
        <f t="shared" si="33"/>
        <v>15416849.27</v>
      </c>
      <c r="O33" s="61">
        <f t="shared" si="34"/>
        <v>2312527.4799999986</v>
      </c>
      <c r="P33" s="103">
        <v>0</v>
      </c>
      <c r="Q33" s="188">
        <f t="shared" ref="Q33:Q34" si="55">S33*I33</f>
        <v>13232235.883665001</v>
      </c>
      <c r="R33" s="249">
        <f t="shared" si="4"/>
        <v>1.0205062323781298</v>
      </c>
      <c r="S33" s="145">
        <f t="shared" si="15"/>
        <v>15127741.950000001</v>
      </c>
      <c r="T33" s="181">
        <f t="shared" si="39"/>
        <v>0.99168901850874125</v>
      </c>
      <c r="U33" s="61">
        <f t="shared" ref="U33:U34" si="56">AA33-AF33</f>
        <v>12858580.600000001</v>
      </c>
      <c r="V33" s="181">
        <f t="shared" si="40"/>
        <v>0.99168891464788278</v>
      </c>
      <c r="W33" s="140">
        <f>S33-Y33</f>
        <v>15127741.950000001</v>
      </c>
      <c r="X33" s="140">
        <f>S33-U33-Y33</f>
        <v>2269161.3499999996</v>
      </c>
      <c r="Y33" s="111">
        <f t="shared" si="29"/>
        <v>0</v>
      </c>
      <c r="Z33" s="108">
        <v>15128641.340000002</v>
      </c>
      <c r="AA33" s="61">
        <v>12859345.080000002</v>
      </c>
      <c r="AB33" s="61">
        <v>15128641.340000002</v>
      </c>
      <c r="AC33" s="61">
        <v>2269296.2600000002</v>
      </c>
      <c r="AD33" s="109">
        <v>0</v>
      </c>
      <c r="AE33" s="108">
        <v>899.39</v>
      </c>
      <c r="AF33" s="61">
        <v>764.48</v>
      </c>
      <c r="AG33" s="61">
        <v>899.39</v>
      </c>
      <c r="AH33" s="61">
        <v>134.91</v>
      </c>
      <c r="AI33" s="109">
        <v>0</v>
      </c>
      <c r="AJ33" s="122"/>
      <c r="AK33" s="111"/>
    </row>
    <row r="34" spans="1:37" ht="82.5" outlineLevel="1">
      <c r="A34" s="234" t="s">
        <v>130</v>
      </c>
      <c r="B34" s="183" t="s">
        <v>131</v>
      </c>
      <c r="C34" s="182" t="s">
        <v>89</v>
      </c>
      <c r="D34" s="182" t="s">
        <v>8</v>
      </c>
      <c r="E34" s="178" t="s">
        <v>31</v>
      </c>
      <c r="F34" s="179">
        <v>12</v>
      </c>
      <c r="G34" s="61">
        <v>5582586</v>
      </c>
      <c r="H34" s="103">
        <v>4745196</v>
      </c>
      <c r="I34" s="198">
        <v>0.87470000000000003</v>
      </c>
      <c r="J34" s="220">
        <f t="shared" si="54"/>
        <v>4957399.5909430003</v>
      </c>
      <c r="K34" s="145">
        <v>5667542.6900000004</v>
      </c>
      <c r="L34" s="61">
        <v>4775500.2299999995</v>
      </c>
      <c r="M34" s="181">
        <f t="shared" si="36"/>
        <v>1.0063862967936412</v>
      </c>
      <c r="N34" s="61">
        <f t="shared" si="33"/>
        <v>5667542.6900000004</v>
      </c>
      <c r="O34" s="61">
        <f t="shared" si="34"/>
        <v>892042.46000000089</v>
      </c>
      <c r="P34" s="103"/>
      <c r="Q34" s="188">
        <f t="shared" si="55"/>
        <v>4799781.2662960002</v>
      </c>
      <c r="R34" s="249">
        <f t="shared" si="4"/>
        <v>1.011503269052743</v>
      </c>
      <c r="S34" s="145">
        <f t="shared" si="15"/>
        <v>5487345.6799999997</v>
      </c>
      <c r="T34" s="181">
        <f t="shared" si="39"/>
        <v>0.98293974871143941</v>
      </c>
      <c r="U34" s="61">
        <f t="shared" si="56"/>
        <v>4664242.72</v>
      </c>
      <c r="V34" s="181">
        <f t="shared" si="40"/>
        <v>0.98293995021491198</v>
      </c>
      <c r="W34" s="140">
        <f>S34-Y34</f>
        <v>5487345.6799999997</v>
      </c>
      <c r="X34" s="140">
        <f>S34-U34-Y34</f>
        <v>823102.96</v>
      </c>
      <c r="Y34" s="111">
        <f t="shared" si="29"/>
        <v>0</v>
      </c>
      <c r="Z34" s="108">
        <v>5487345.6799999997</v>
      </c>
      <c r="AA34" s="61">
        <v>4664242.72</v>
      </c>
      <c r="AB34" s="61">
        <v>5487345.6799999997</v>
      </c>
      <c r="AC34" s="61">
        <v>823102.96</v>
      </c>
      <c r="AD34" s="109">
        <v>0</v>
      </c>
      <c r="AE34" s="108">
        <v>0</v>
      </c>
      <c r="AF34" s="61">
        <v>0</v>
      </c>
      <c r="AG34" s="61">
        <v>0</v>
      </c>
      <c r="AH34" s="61">
        <v>0</v>
      </c>
      <c r="AI34" s="109">
        <v>0</v>
      </c>
      <c r="AJ34" s="122"/>
      <c r="AK34" s="111"/>
    </row>
    <row r="35" spans="1:37" s="32" customFormat="1" ht="132">
      <c r="A35" s="232" t="s">
        <v>132</v>
      </c>
      <c r="B35" s="171" t="s">
        <v>133</v>
      </c>
      <c r="C35" s="172" t="s">
        <v>89</v>
      </c>
      <c r="D35" s="172" t="s">
        <v>0</v>
      </c>
      <c r="E35" s="173"/>
      <c r="F35" s="197"/>
      <c r="G35" s="60">
        <f>G36+G41+G44+G47</f>
        <v>51639058</v>
      </c>
      <c r="H35" s="104">
        <f>H36+H41+H44+H47</f>
        <v>46481473</v>
      </c>
      <c r="I35" s="153">
        <v>0.87470000000000003</v>
      </c>
      <c r="J35" s="112">
        <f>J36+J41+J44+J47</f>
        <v>46983300.737417996</v>
      </c>
      <c r="K35" s="146">
        <f>K36+K41+K44+K47</f>
        <v>53713616.939999998</v>
      </c>
      <c r="L35" s="58">
        <f>L36+L41+L44+L47</f>
        <v>48582005.740000002</v>
      </c>
      <c r="M35" s="175">
        <f t="shared" si="36"/>
        <v>1.0451907524531334</v>
      </c>
      <c r="N35" s="60">
        <f>N36+N41+N44+N47</f>
        <v>53713616.939999998</v>
      </c>
      <c r="O35" s="60">
        <f>O36+O41+O44+O47</f>
        <v>5131611.1999999983</v>
      </c>
      <c r="P35" s="107">
        <f>P36+P41+P44+P47</f>
        <v>0</v>
      </c>
      <c r="Q35" s="189">
        <f>Q36+Q41+Q44+Q47</f>
        <v>46632768.482374996</v>
      </c>
      <c r="R35" s="175">
        <f t="shared" si="4"/>
        <v>1.0032549631629573</v>
      </c>
      <c r="S35" s="146">
        <f>S36+S41+S44+S47</f>
        <v>53312871.249999993</v>
      </c>
      <c r="T35" s="175">
        <f t="shared" si="39"/>
        <v>1.0324137061136938</v>
      </c>
      <c r="U35" s="58">
        <f>U36+U41+U44+U47</f>
        <v>48192970.449999996</v>
      </c>
      <c r="V35" s="175">
        <f t="shared" si="40"/>
        <v>1.0368210673960354</v>
      </c>
      <c r="W35" s="58">
        <f>W36+W41+W44+W47</f>
        <v>53312871.249999993</v>
      </c>
      <c r="X35" s="58">
        <f>X36+X41+X44+X47</f>
        <v>5119900.7999999989</v>
      </c>
      <c r="Y35" s="113">
        <f t="shared" ref="Y35" si="57">Y36+Y41+Y44+Y47</f>
        <v>0</v>
      </c>
      <c r="Z35" s="118">
        <f>Z36+Z41+Z44+Z47</f>
        <v>53324960.939999998</v>
      </c>
      <c r="AA35" s="60">
        <f t="shared" ref="AA35:AI35" si="58">AA36+AA41+AA44+AA47</f>
        <v>48205035.649999991</v>
      </c>
      <c r="AB35" s="60">
        <f t="shared" si="58"/>
        <v>53324960.939999998</v>
      </c>
      <c r="AC35" s="60">
        <f t="shared" si="58"/>
        <v>5119925.29</v>
      </c>
      <c r="AD35" s="119">
        <f t="shared" si="58"/>
        <v>0</v>
      </c>
      <c r="AE35" s="118">
        <f t="shared" si="58"/>
        <v>12089.689999999999</v>
      </c>
      <c r="AF35" s="60">
        <f t="shared" si="58"/>
        <v>12065.199999999999</v>
      </c>
      <c r="AG35" s="60">
        <f t="shared" si="58"/>
        <v>12089.689999999999</v>
      </c>
      <c r="AH35" s="60">
        <f t="shared" si="58"/>
        <v>24.49</v>
      </c>
      <c r="AI35" s="119">
        <f t="shared" si="58"/>
        <v>0</v>
      </c>
      <c r="AJ35" s="124"/>
      <c r="AK35" s="113"/>
    </row>
    <row r="36" spans="1:37" ht="33" outlineLevel="1">
      <c r="A36" s="236" t="s">
        <v>134</v>
      </c>
      <c r="B36" s="176" t="s">
        <v>135</v>
      </c>
      <c r="C36" s="177" t="s">
        <v>89</v>
      </c>
      <c r="D36" s="177" t="s">
        <v>0</v>
      </c>
      <c r="E36" s="178"/>
      <c r="F36" s="179"/>
      <c r="G36" s="61">
        <f>SUM(G37:G40)</f>
        <v>36126311</v>
      </c>
      <c r="H36" s="103">
        <f>SUM(H37:H40)</f>
        <v>31868726.000000004</v>
      </c>
      <c r="I36" s="198">
        <v>0.87470000000000003</v>
      </c>
      <c r="J36" s="110">
        <f>SUM(J37:J40)</f>
        <v>33485227.665442001</v>
      </c>
      <c r="K36" s="145">
        <f>SUM(K37:K40)</f>
        <v>38281956.859999999</v>
      </c>
      <c r="L36" s="65">
        <f>SUM(L37:L40)</f>
        <v>34037001.149999999</v>
      </c>
      <c r="M36" s="181">
        <f t="shared" si="36"/>
        <v>1.0680377103872929</v>
      </c>
      <c r="N36" s="61">
        <f>SUM(N37:N40)</f>
        <v>38281956.859999999</v>
      </c>
      <c r="O36" s="61">
        <f t="shared" ref="O36:P36" si="59">SUM(O37:O40)</f>
        <v>4244955.7099999972</v>
      </c>
      <c r="P36" s="102">
        <f t="shared" si="59"/>
        <v>0</v>
      </c>
      <c r="Q36" s="188">
        <f>SUM(Q37:Q40)</f>
        <v>33398542.682450991</v>
      </c>
      <c r="R36" s="249">
        <f t="shared" si="4"/>
        <v>1.0480036974948728</v>
      </c>
      <c r="S36" s="145">
        <f>SUM(S37:S40)</f>
        <v>38182854.329999991</v>
      </c>
      <c r="T36" s="181">
        <f t="shared" si="39"/>
        <v>1.0569264691875124</v>
      </c>
      <c r="U36" s="65">
        <f>SUM(U37:U40)</f>
        <v>33949829.039999992</v>
      </c>
      <c r="V36" s="181">
        <f t="shared" si="40"/>
        <v>1.0653023606905399</v>
      </c>
      <c r="W36" s="65">
        <f t="shared" ref="W36:Y36" si="60">SUM(W37:W40)</f>
        <v>38182854.329999991</v>
      </c>
      <c r="X36" s="65">
        <f t="shared" si="60"/>
        <v>4233025.2899999991</v>
      </c>
      <c r="Y36" s="111">
        <f t="shared" si="60"/>
        <v>0</v>
      </c>
      <c r="Z36" s="108">
        <f t="shared" ref="Z36:AI36" si="61">SUM(Z37:Z40)</f>
        <v>38182854.329999991</v>
      </c>
      <c r="AA36" s="61">
        <f t="shared" si="61"/>
        <v>33949829.039999992</v>
      </c>
      <c r="AB36" s="61">
        <f t="shared" si="61"/>
        <v>38182854.329999991</v>
      </c>
      <c r="AC36" s="61">
        <f t="shared" si="61"/>
        <v>4233025.29</v>
      </c>
      <c r="AD36" s="109">
        <f t="shared" si="61"/>
        <v>0</v>
      </c>
      <c r="AE36" s="108">
        <f t="shared" si="61"/>
        <v>0</v>
      </c>
      <c r="AF36" s="61">
        <f t="shared" si="61"/>
        <v>0</v>
      </c>
      <c r="AG36" s="61">
        <f t="shared" si="61"/>
        <v>0</v>
      </c>
      <c r="AH36" s="61">
        <f t="shared" si="61"/>
        <v>0</v>
      </c>
      <c r="AI36" s="109">
        <f t="shared" si="61"/>
        <v>0</v>
      </c>
      <c r="AJ36" s="122"/>
      <c r="AK36" s="111"/>
    </row>
    <row r="37" spans="1:37" s="28" customFormat="1" ht="115.5" outlineLevel="1">
      <c r="A37" s="234" t="s">
        <v>136</v>
      </c>
      <c r="B37" s="183" t="s">
        <v>137</v>
      </c>
      <c r="C37" s="182" t="s">
        <v>89</v>
      </c>
      <c r="D37" s="182" t="s">
        <v>8</v>
      </c>
      <c r="E37" s="178"/>
      <c r="F37" s="179"/>
      <c r="G37" s="65">
        <v>0</v>
      </c>
      <c r="H37" s="103">
        <v>0</v>
      </c>
      <c r="I37" s="198">
        <v>0.87470000000000003</v>
      </c>
      <c r="J37" s="220">
        <v>0</v>
      </c>
      <c r="K37" s="145">
        <v>0</v>
      </c>
      <c r="L37" s="61">
        <f t="shared" si="16"/>
        <v>0</v>
      </c>
      <c r="M37" s="181">
        <v>0</v>
      </c>
      <c r="N37" s="61">
        <f t="shared" si="33"/>
        <v>0</v>
      </c>
      <c r="O37" s="61">
        <f t="shared" si="34"/>
        <v>0</v>
      </c>
      <c r="P37" s="103">
        <v>0</v>
      </c>
      <c r="Q37" s="188">
        <v>0</v>
      </c>
      <c r="R37" s="249">
        <v>0</v>
      </c>
      <c r="S37" s="145">
        <f t="shared" si="15"/>
        <v>0</v>
      </c>
      <c r="T37" s="181">
        <v>0</v>
      </c>
      <c r="U37" s="61">
        <v>0</v>
      </c>
      <c r="V37" s="181">
        <v>0</v>
      </c>
      <c r="W37" s="140">
        <f>S37-Y37</f>
        <v>0</v>
      </c>
      <c r="X37" s="140">
        <f>S37-U37-Y37</f>
        <v>0</v>
      </c>
      <c r="Y37" s="111">
        <f t="shared" si="29"/>
        <v>0</v>
      </c>
      <c r="Z37" s="110">
        <v>0</v>
      </c>
      <c r="AA37" s="65">
        <v>0</v>
      </c>
      <c r="AB37" s="65">
        <v>0</v>
      </c>
      <c r="AC37" s="65">
        <v>0</v>
      </c>
      <c r="AD37" s="111">
        <v>0</v>
      </c>
      <c r="AE37" s="110">
        <v>0</v>
      </c>
      <c r="AF37" s="65">
        <v>0</v>
      </c>
      <c r="AG37" s="65">
        <v>0</v>
      </c>
      <c r="AH37" s="65">
        <v>0</v>
      </c>
      <c r="AI37" s="111">
        <v>0</v>
      </c>
      <c r="AJ37" s="122"/>
      <c r="AK37" s="111"/>
    </row>
    <row r="38" spans="1:37" s="32" customFormat="1" ht="66" outlineLevel="1">
      <c r="A38" s="234" t="s">
        <v>272</v>
      </c>
      <c r="B38" s="183" t="s">
        <v>138</v>
      </c>
      <c r="C38" s="182" t="s">
        <v>89</v>
      </c>
      <c r="D38" s="182" t="s">
        <v>9</v>
      </c>
      <c r="E38" s="178" t="s">
        <v>32</v>
      </c>
      <c r="F38" s="179">
        <v>12</v>
      </c>
      <c r="G38" s="61">
        <v>7742415</v>
      </c>
      <c r="H38" s="102">
        <v>7742415</v>
      </c>
      <c r="I38" s="198">
        <v>0.87470000000000003</v>
      </c>
      <c r="J38" s="220">
        <f>K38*I38</f>
        <v>8731476.4979190007</v>
      </c>
      <c r="K38" s="144">
        <v>9982252.7699999996</v>
      </c>
      <c r="L38" s="61">
        <v>9982252.7699999977</v>
      </c>
      <c r="M38" s="181">
        <f>L38/H38</f>
        <v>1.2892944604493557</v>
      </c>
      <c r="N38" s="61">
        <f t="shared" si="33"/>
        <v>9982252.7699999996</v>
      </c>
      <c r="O38" s="61">
        <f t="shared" si="34"/>
        <v>0</v>
      </c>
      <c r="P38" s="102">
        <v>0</v>
      </c>
      <c r="Q38" s="163">
        <f>S38*I38</f>
        <v>8714361.1730429977</v>
      </c>
      <c r="R38" s="249">
        <f t="shared" si="4"/>
        <v>1.125535272010477</v>
      </c>
      <c r="S38" s="145">
        <f t="shared" si="15"/>
        <v>9962685.6899999976</v>
      </c>
      <c r="T38" s="181">
        <f>S38/G38</f>
        <v>1.2867672024813961</v>
      </c>
      <c r="U38" s="61">
        <f>AA38-AF38</f>
        <v>9962685.6899999976</v>
      </c>
      <c r="V38" s="181">
        <f>U38/H38</f>
        <v>1.2867672024813961</v>
      </c>
      <c r="W38" s="140">
        <f>S38-Y38</f>
        <v>9962685.6899999976</v>
      </c>
      <c r="X38" s="140">
        <f>S38-U38-Y38</f>
        <v>0</v>
      </c>
      <c r="Y38" s="109">
        <f t="shared" si="29"/>
        <v>0</v>
      </c>
      <c r="Z38" s="108">
        <v>9962685.6899999976</v>
      </c>
      <c r="AA38" s="61">
        <v>9962685.6899999976</v>
      </c>
      <c r="AB38" s="61">
        <v>9962685.6899999976</v>
      </c>
      <c r="AC38" s="61">
        <v>0</v>
      </c>
      <c r="AD38" s="109">
        <v>0</v>
      </c>
      <c r="AE38" s="108">
        <v>0</v>
      </c>
      <c r="AF38" s="61">
        <v>0</v>
      </c>
      <c r="AG38" s="61">
        <v>0</v>
      </c>
      <c r="AH38" s="61">
        <v>0</v>
      </c>
      <c r="AI38" s="109">
        <v>0</v>
      </c>
      <c r="AJ38" s="120"/>
      <c r="AK38" s="109"/>
    </row>
    <row r="39" spans="1:37" s="56" customFormat="1" ht="66" outlineLevel="1">
      <c r="A39" s="234" t="s">
        <v>139</v>
      </c>
      <c r="B39" s="183" t="s">
        <v>140</v>
      </c>
      <c r="C39" s="182" t="s">
        <v>89</v>
      </c>
      <c r="D39" s="182" t="s">
        <v>8</v>
      </c>
      <c r="E39" s="178"/>
      <c r="F39" s="179"/>
      <c r="G39" s="61">
        <v>0</v>
      </c>
      <c r="H39" s="103">
        <v>0</v>
      </c>
      <c r="I39" s="198">
        <v>0.87470000000000003</v>
      </c>
      <c r="J39" s="220">
        <v>0</v>
      </c>
      <c r="K39" s="145">
        <v>0</v>
      </c>
      <c r="L39" s="61">
        <f t="shared" si="16"/>
        <v>0</v>
      </c>
      <c r="M39" s="181">
        <v>0</v>
      </c>
      <c r="N39" s="61">
        <f t="shared" si="33"/>
        <v>0</v>
      </c>
      <c r="O39" s="61">
        <f t="shared" si="34"/>
        <v>0</v>
      </c>
      <c r="P39" s="103">
        <v>0</v>
      </c>
      <c r="Q39" s="188">
        <v>0</v>
      </c>
      <c r="R39" s="249">
        <v>0</v>
      </c>
      <c r="S39" s="145">
        <f t="shared" si="15"/>
        <v>0</v>
      </c>
      <c r="T39" s="181">
        <v>0</v>
      </c>
      <c r="U39" s="61">
        <f t="shared" ref="U39:U40" si="62">AA39-AF39</f>
        <v>0</v>
      </c>
      <c r="V39" s="181">
        <v>0</v>
      </c>
      <c r="W39" s="140">
        <f>S39-Y39</f>
        <v>0</v>
      </c>
      <c r="X39" s="140">
        <f>S39-U39-Y39</f>
        <v>0</v>
      </c>
      <c r="Y39" s="111">
        <f t="shared" si="29"/>
        <v>0</v>
      </c>
      <c r="Z39" s="108">
        <v>0</v>
      </c>
      <c r="AA39" s="61">
        <v>0</v>
      </c>
      <c r="AB39" s="61">
        <v>0</v>
      </c>
      <c r="AC39" s="61">
        <v>0</v>
      </c>
      <c r="AD39" s="109">
        <v>0</v>
      </c>
      <c r="AE39" s="108">
        <v>0</v>
      </c>
      <c r="AF39" s="61">
        <v>0</v>
      </c>
      <c r="AG39" s="61">
        <v>0</v>
      </c>
      <c r="AH39" s="61">
        <v>0</v>
      </c>
      <c r="AI39" s="109">
        <v>0</v>
      </c>
      <c r="AJ39" s="122"/>
      <c r="AK39" s="111"/>
    </row>
    <row r="40" spans="1:37" s="56" customFormat="1" ht="82.5" outlineLevel="1">
      <c r="A40" s="234" t="s">
        <v>141</v>
      </c>
      <c r="B40" s="183" t="s">
        <v>142</v>
      </c>
      <c r="C40" s="182" t="s">
        <v>89</v>
      </c>
      <c r="D40" s="182" t="s">
        <v>8</v>
      </c>
      <c r="E40" s="178" t="s">
        <v>32</v>
      </c>
      <c r="F40" s="179">
        <v>12</v>
      </c>
      <c r="G40" s="61">
        <v>28383896</v>
      </c>
      <c r="H40" s="103">
        <v>24126311.000000004</v>
      </c>
      <c r="I40" s="198">
        <v>0.87470000000000003</v>
      </c>
      <c r="J40" s="220">
        <f>K40*I40</f>
        <v>24753751.167523</v>
      </c>
      <c r="K40" s="145">
        <v>28299704.09</v>
      </c>
      <c r="L40" s="61">
        <v>24054748.380000003</v>
      </c>
      <c r="M40" s="181">
        <f>L40/H40</f>
        <v>0.99703383496963127</v>
      </c>
      <c r="N40" s="61">
        <f t="shared" si="33"/>
        <v>28299704.09</v>
      </c>
      <c r="O40" s="61">
        <f t="shared" si="34"/>
        <v>4244955.7099999972</v>
      </c>
      <c r="P40" s="103">
        <v>0</v>
      </c>
      <c r="Q40" s="188">
        <f>S40*I40</f>
        <v>24684181.509407993</v>
      </c>
      <c r="R40" s="249">
        <f t="shared" si="4"/>
        <v>1.0231229096486401</v>
      </c>
      <c r="S40" s="145">
        <f t="shared" si="15"/>
        <v>28220168.639999993</v>
      </c>
      <c r="T40" s="181">
        <f>S40/G40</f>
        <v>0.99423168123220274</v>
      </c>
      <c r="U40" s="61">
        <f t="shared" si="62"/>
        <v>23987143.349999994</v>
      </c>
      <c r="V40" s="181">
        <f>U40/H40</f>
        <v>0.99423170620655554</v>
      </c>
      <c r="W40" s="140">
        <f>S40-Y40</f>
        <v>28220168.639999993</v>
      </c>
      <c r="X40" s="140">
        <f>S40-U40-Y40</f>
        <v>4233025.2899999991</v>
      </c>
      <c r="Y40" s="111">
        <f t="shared" si="29"/>
        <v>0</v>
      </c>
      <c r="Z40" s="108">
        <v>28220168.639999993</v>
      </c>
      <c r="AA40" s="61">
        <v>23987143.349999994</v>
      </c>
      <c r="AB40" s="61">
        <v>28220168.639999993</v>
      </c>
      <c r="AC40" s="61">
        <v>4233025.29</v>
      </c>
      <c r="AD40" s="109">
        <v>0</v>
      </c>
      <c r="AE40" s="108">
        <v>0</v>
      </c>
      <c r="AF40" s="61">
        <v>0</v>
      </c>
      <c r="AG40" s="61">
        <v>0</v>
      </c>
      <c r="AH40" s="61">
        <v>0</v>
      </c>
      <c r="AI40" s="109">
        <v>0</v>
      </c>
      <c r="AJ40" s="122"/>
      <c r="AK40" s="111"/>
    </row>
    <row r="41" spans="1:37" s="56" customFormat="1" ht="82.5" outlineLevel="1">
      <c r="A41" s="234" t="s">
        <v>143</v>
      </c>
      <c r="B41" s="183" t="s">
        <v>144</v>
      </c>
      <c r="C41" s="182" t="s">
        <v>89</v>
      </c>
      <c r="D41" s="182" t="s">
        <v>8</v>
      </c>
      <c r="E41" s="178"/>
      <c r="F41" s="179"/>
      <c r="G41" s="61">
        <f t="shared" ref="G41" si="63">G42+G43</f>
        <v>0</v>
      </c>
      <c r="H41" s="103">
        <f>H42+H43</f>
        <v>0</v>
      </c>
      <c r="I41" s="198">
        <v>0.87470000000000003</v>
      </c>
      <c r="J41" s="110">
        <f>J42+J43</f>
        <v>0</v>
      </c>
      <c r="K41" s="145">
        <f>K42+K43</f>
        <v>0</v>
      </c>
      <c r="L41" s="65">
        <f>L42+L43</f>
        <v>0</v>
      </c>
      <c r="M41" s="181">
        <v>0</v>
      </c>
      <c r="N41" s="61">
        <f>SUM(N42:N43)</f>
        <v>0</v>
      </c>
      <c r="O41" s="61">
        <f t="shared" ref="O41:P41" si="64">SUM(O42:O43)</f>
        <v>0</v>
      </c>
      <c r="P41" s="102">
        <f t="shared" si="64"/>
        <v>0</v>
      </c>
      <c r="Q41" s="188">
        <f>Q42+Q43</f>
        <v>0</v>
      </c>
      <c r="R41" s="249">
        <v>0</v>
      </c>
      <c r="S41" s="145">
        <f>S42+S43</f>
        <v>0</v>
      </c>
      <c r="T41" s="181">
        <v>0</v>
      </c>
      <c r="U41" s="65">
        <f>U42+U43</f>
        <v>0</v>
      </c>
      <c r="V41" s="181">
        <v>0</v>
      </c>
      <c r="W41" s="65">
        <f>W42+W43</f>
        <v>0</v>
      </c>
      <c r="X41" s="65">
        <f t="shared" ref="X41:Y41" si="65">X42+X43</f>
        <v>0</v>
      </c>
      <c r="Y41" s="111">
        <f t="shared" si="65"/>
        <v>0</v>
      </c>
      <c r="Z41" s="108">
        <f t="shared" ref="Z41:AI41" si="66">Z42+Z43</f>
        <v>0</v>
      </c>
      <c r="AA41" s="61">
        <f t="shared" si="66"/>
        <v>0</v>
      </c>
      <c r="AB41" s="61">
        <f t="shared" si="66"/>
        <v>0</v>
      </c>
      <c r="AC41" s="61">
        <f t="shared" si="66"/>
        <v>0</v>
      </c>
      <c r="AD41" s="109">
        <f t="shared" si="66"/>
        <v>0</v>
      </c>
      <c r="AE41" s="108">
        <f t="shared" si="66"/>
        <v>0</v>
      </c>
      <c r="AF41" s="61">
        <f t="shared" si="66"/>
        <v>0</v>
      </c>
      <c r="AG41" s="61">
        <f t="shared" si="66"/>
        <v>0</v>
      </c>
      <c r="AH41" s="61">
        <f t="shared" si="66"/>
        <v>0</v>
      </c>
      <c r="AI41" s="109">
        <f t="shared" si="66"/>
        <v>0</v>
      </c>
      <c r="AJ41" s="122"/>
      <c r="AK41" s="111"/>
    </row>
    <row r="42" spans="1:37" s="32" customFormat="1" ht="82.5" outlineLevel="1">
      <c r="A42" s="234" t="s">
        <v>145</v>
      </c>
      <c r="B42" s="183" t="s">
        <v>146</v>
      </c>
      <c r="C42" s="182" t="s">
        <v>89</v>
      </c>
      <c r="D42" s="182" t="s">
        <v>8</v>
      </c>
      <c r="E42" s="178"/>
      <c r="F42" s="179"/>
      <c r="G42" s="61">
        <v>0</v>
      </c>
      <c r="H42" s="102">
        <v>0</v>
      </c>
      <c r="I42" s="198">
        <v>0.87470000000000003</v>
      </c>
      <c r="J42" s="110">
        <v>0</v>
      </c>
      <c r="K42" s="144">
        <v>0</v>
      </c>
      <c r="L42" s="61">
        <f t="shared" si="16"/>
        <v>0</v>
      </c>
      <c r="M42" s="181">
        <v>0</v>
      </c>
      <c r="N42" s="61">
        <f t="shared" si="33"/>
        <v>0</v>
      </c>
      <c r="O42" s="61">
        <f t="shared" si="34"/>
        <v>0</v>
      </c>
      <c r="P42" s="102">
        <v>0</v>
      </c>
      <c r="Q42" s="163">
        <v>0</v>
      </c>
      <c r="R42" s="249">
        <v>0</v>
      </c>
      <c r="S42" s="145">
        <f t="shared" si="15"/>
        <v>0</v>
      </c>
      <c r="T42" s="181">
        <v>0</v>
      </c>
      <c r="U42" s="61">
        <f>AA42-AF42</f>
        <v>0</v>
      </c>
      <c r="V42" s="181">
        <v>0</v>
      </c>
      <c r="W42" s="140">
        <f>S42-Y42</f>
        <v>0</v>
      </c>
      <c r="X42" s="140">
        <f>S42-U42-Y42</f>
        <v>0</v>
      </c>
      <c r="Y42" s="109">
        <f t="shared" si="29"/>
        <v>0</v>
      </c>
      <c r="Z42" s="108">
        <v>0</v>
      </c>
      <c r="AA42" s="61">
        <v>0</v>
      </c>
      <c r="AB42" s="61">
        <v>0</v>
      </c>
      <c r="AC42" s="61">
        <v>0</v>
      </c>
      <c r="AD42" s="109">
        <v>0</v>
      </c>
      <c r="AE42" s="108">
        <v>0</v>
      </c>
      <c r="AF42" s="61">
        <v>0</v>
      </c>
      <c r="AG42" s="61">
        <v>0</v>
      </c>
      <c r="AH42" s="61">
        <v>0</v>
      </c>
      <c r="AI42" s="109">
        <v>0</v>
      </c>
      <c r="AJ42" s="120"/>
      <c r="AK42" s="109"/>
    </row>
    <row r="43" spans="1:37" ht="132" outlineLevel="1">
      <c r="A43" s="234" t="s">
        <v>147</v>
      </c>
      <c r="B43" s="183" t="s">
        <v>148</v>
      </c>
      <c r="C43" s="182" t="s">
        <v>89</v>
      </c>
      <c r="D43" s="182" t="s">
        <v>8</v>
      </c>
      <c r="E43" s="178"/>
      <c r="F43" s="179"/>
      <c r="G43" s="61">
        <v>0</v>
      </c>
      <c r="H43" s="103">
        <v>0</v>
      </c>
      <c r="I43" s="198">
        <v>0.87470000000000003</v>
      </c>
      <c r="J43" s="110">
        <v>0</v>
      </c>
      <c r="K43" s="145">
        <v>0</v>
      </c>
      <c r="L43" s="61">
        <f t="shared" si="16"/>
        <v>0</v>
      </c>
      <c r="M43" s="181">
        <v>0</v>
      </c>
      <c r="N43" s="61">
        <f t="shared" si="33"/>
        <v>0</v>
      </c>
      <c r="O43" s="61">
        <f t="shared" si="34"/>
        <v>0</v>
      </c>
      <c r="P43" s="103">
        <v>0</v>
      </c>
      <c r="Q43" s="188">
        <v>0</v>
      </c>
      <c r="R43" s="249">
        <v>0</v>
      </c>
      <c r="S43" s="145">
        <f t="shared" si="15"/>
        <v>0</v>
      </c>
      <c r="T43" s="181">
        <v>0</v>
      </c>
      <c r="U43" s="61">
        <f>AA43-AF43</f>
        <v>0</v>
      </c>
      <c r="V43" s="181">
        <v>0</v>
      </c>
      <c r="W43" s="140">
        <f>S43-Y43</f>
        <v>0</v>
      </c>
      <c r="X43" s="140">
        <f>S43-U43-Y43</f>
        <v>0</v>
      </c>
      <c r="Y43" s="111">
        <f t="shared" si="29"/>
        <v>0</v>
      </c>
      <c r="Z43" s="108">
        <v>0</v>
      </c>
      <c r="AA43" s="61">
        <v>0</v>
      </c>
      <c r="AB43" s="61">
        <v>0</v>
      </c>
      <c r="AC43" s="61">
        <v>0</v>
      </c>
      <c r="AD43" s="109">
        <v>0</v>
      </c>
      <c r="AE43" s="108">
        <v>0</v>
      </c>
      <c r="AF43" s="61">
        <v>0</v>
      </c>
      <c r="AG43" s="61">
        <v>0</v>
      </c>
      <c r="AH43" s="61">
        <v>0</v>
      </c>
      <c r="AI43" s="109">
        <v>0</v>
      </c>
      <c r="AJ43" s="122"/>
      <c r="AK43" s="111"/>
    </row>
    <row r="44" spans="1:37" ht="101.25" customHeight="1" outlineLevel="1">
      <c r="A44" s="236" t="s">
        <v>149</v>
      </c>
      <c r="B44" s="176" t="s">
        <v>150</v>
      </c>
      <c r="C44" s="177" t="s">
        <v>89</v>
      </c>
      <c r="D44" s="177" t="s">
        <v>8</v>
      </c>
      <c r="E44" s="178"/>
      <c r="F44" s="179"/>
      <c r="G44" s="61">
        <f t="shared" ref="G44:H44" si="67">SUM(G45:G46)</f>
        <v>1384961</v>
      </c>
      <c r="H44" s="103">
        <f t="shared" si="67"/>
        <v>1384961</v>
      </c>
      <c r="I44" s="198">
        <v>0.87470000000000003</v>
      </c>
      <c r="J44" s="110">
        <f>SUM(J45:J46)</f>
        <v>1184170.093327</v>
      </c>
      <c r="K44" s="145">
        <f>SUM(K45:K46)</f>
        <v>1353801.41</v>
      </c>
      <c r="L44" s="65">
        <f>SUM(L45:L46)</f>
        <v>1353801.4100000001</v>
      </c>
      <c r="M44" s="181">
        <f>L44/H44</f>
        <v>0.97750146755034995</v>
      </c>
      <c r="N44" s="61">
        <f>SUM(N45:N46)</f>
        <v>1353801.41</v>
      </c>
      <c r="O44" s="61">
        <f t="shared" ref="O44:P44" si="68">SUM(O45:O46)</f>
        <v>0</v>
      </c>
      <c r="P44" s="102">
        <f t="shared" si="68"/>
        <v>0</v>
      </c>
      <c r="Q44" s="188">
        <f>SUM(Q45:Q46)</f>
        <v>1185018.945942</v>
      </c>
      <c r="R44" s="249">
        <f t="shared" si="4"/>
        <v>0.85563344089977988</v>
      </c>
      <c r="S44" s="145">
        <f>SUM(S45:S46)</f>
        <v>1354771.86</v>
      </c>
      <c r="T44" s="181">
        <f>S44/G44</f>
        <v>0.9782021732019891</v>
      </c>
      <c r="U44" s="65">
        <f t="shared" ref="U44:Y44" si="69">SUM(U45:U46)</f>
        <v>1354771.86</v>
      </c>
      <c r="V44" s="181">
        <f>U44/H44</f>
        <v>0.9782021732019891</v>
      </c>
      <c r="W44" s="65">
        <f t="shared" si="69"/>
        <v>1354771.86</v>
      </c>
      <c r="X44" s="65">
        <f>SUM(X45:X46)</f>
        <v>0</v>
      </c>
      <c r="Y44" s="111">
        <f t="shared" si="69"/>
        <v>0</v>
      </c>
      <c r="Z44" s="108">
        <f t="shared" ref="Z44:AI44" si="70">SUM(Z45:Z46)</f>
        <v>1354771.86</v>
      </c>
      <c r="AA44" s="61">
        <f t="shared" si="70"/>
        <v>1354771.86</v>
      </c>
      <c r="AB44" s="61">
        <f t="shared" si="70"/>
        <v>1354771.86</v>
      </c>
      <c r="AC44" s="61">
        <f t="shared" si="70"/>
        <v>0</v>
      </c>
      <c r="AD44" s="109">
        <f t="shared" si="70"/>
        <v>0</v>
      </c>
      <c r="AE44" s="108">
        <f t="shared" si="70"/>
        <v>0</v>
      </c>
      <c r="AF44" s="61">
        <f t="shared" si="70"/>
        <v>0</v>
      </c>
      <c r="AG44" s="61">
        <f t="shared" si="70"/>
        <v>0</v>
      </c>
      <c r="AH44" s="61">
        <f t="shared" si="70"/>
        <v>0</v>
      </c>
      <c r="AI44" s="109">
        <f t="shared" si="70"/>
        <v>0</v>
      </c>
      <c r="AJ44" s="122"/>
      <c r="AK44" s="111"/>
    </row>
    <row r="45" spans="1:37" s="28" customFormat="1" ht="99" outlineLevel="1">
      <c r="A45" s="234" t="s">
        <v>151</v>
      </c>
      <c r="B45" s="183" t="s">
        <v>152</v>
      </c>
      <c r="C45" s="182" t="s">
        <v>89</v>
      </c>
      <c r="D45" s="182" t="s">
        <v>8</v>
      </c>
      <c r="E45" s="178"/>
      <c r="F45" s="179"/>
      <c r="G45" s="61">
        <v>0</v>
      </c>
      <c r="H45" s="102">
        <v>0</v>
      </c>
      <c r="I45" s="198">
        <v>0.87470000000000003</v>
      </c>
      <c r="J45" s="220">
        <v>0</v>
      </c>
      <c r="K45" s="144">
        <v>0</v>
      </c>
      <c r="L45" s="61">
        <f t="shared" si="16"/>
        <v>0</v>
      </c>
      <c r="M45" s="181">
        <v>0</v>
      </c>
      <c r="N45" s="61">
        <f t="shared" si="33"/>
        <v>0</v>
      </c>
      <c r="O45" s="61">
        <f t="shared" si="34"/>
        <v>0</v>
      </c>
      <c r="P45" s="102">
        <v>0</v>
      </c>
      <c r="Q45" s="163">
        <v>0</v>
      </c>
      <c r="R45" s="249">
        <v>0</v>
      </c>
      <c r="S45" s="145">
        <f t="shared" si="15"/>
        <v>0</v>
      </c>
      <c r="T45" s="181">
        <v>0</v>
      </c>
      <c r="U45" s="61">
        <f>AA45-AF45</f>
        <v>0</v>
      </c>
      <c r="V45" s="181">
        <v>0</v>
      </c>
      <c r="W45" s="140">
        <f>S45-Y45</f>
        <v>0</v>
      </c>
      <c r="X45" s="140">
        <f>S45-U45-Y45</f>
        <v>0</v>
      </c>
      <c r="Y45" s="109">
        <f>AD45-AI45</f>
        <v>0</v>
      </c>
      <c r="Z45" s="108">
        <v>0</v>
      </c>
      <c r="AA45" s="61">
        <v>0</v>
      </c>
      <c r="AB45" s="61">
        <v>0</v>
      </c>
      <c r="AC45" s="61">
        <v>0</v>
      </c>
      <c r="AD45" s="109">
        <v>0</v>
      </c>
      <c r="AE45" s="108">
        <v>0</v>
      </c>
      <c r="AF45" s="61">
        <v>0</v>
      </c>
      <c r="AG45" s="61">
        <v>0</v>
      </c>
      <c r="AH45" s="61">
        <v>0</v>
      </c>
      <c r="AI45" s="109">
        <v>0</v>
      </c>
      <c r="AJ45" s="120"/>
      <c r="AK45" s="109"/>
    </row>
    <row r="46" spans="1:37" s="28" customFormat="1" ht="49.5" outlineLevel="1">
      <c r="A46" s="234" t="s">
        <v>153</v>
      </c>
      <c r="B46" s="183" t="s">
        <v>154</v>
      </c>
      <c r="C46" s="182" t="s">
        <v>89</v>
      </c>
      <c r="D46" s="182" t="s">
        <v>8</v>
      </c>
      <c r="E46" s="178">
        <v>2</v>
      </c>
      <c r="F46" s="179" t="s">
        <v>155</v>
      </c>
      <c r="G46" s="65">
        <v>1384961</v>
      </c>
      <c r="H46" s="103">
        <v>1384961</v>
      </c>
      <c r="I46" s="198">
        <v>0.87470000000000003</v>
      </c>
      <c r="J46" s="220">
        <f>K46*I46</f>
        <v>1184170.093327</v>
      </c>
      <c r="K46" s="145">
        <v>1353801.41</v>
      </c>
      <c r="L46" s="61">
        <v>1353801.4100000001</v>
      </c>
      <c r="M46" s="181">
        <f t="shared" ref="M46:M68" si="71">L46/H46</f>
        <v>0.97750146755034995</v>
      </c>
      <c r="N46" s="61">
        <f t="shared" si="33"/>
        <v>1353801.41</v>
      </c>
      <c r="O46" s="61">
        <f t="shared" si="34"/>
        <v>0</v>
      </c>
      <c r="P46" s="103"/>
      <c r="Q46" s="188">
        <f>S46*I46</f>
        <v>1185018.945942</v>
      </c>
      <c r="R46" s="249">
        <f t="shared" si="4"/>
        <v>0.85563344089977988</v>
      </c>
      <c r="S46" s="145">
        <f t="shared" si="15"/>
        <v>1354771.86</v>
      </c>
      <c r="T46" s="181">
        <f t="shared" ref="T46:T68" si="72">S46/G46</f>
        <v>0.9782021732019891</v>
      </c>
      <c r="U46" s="61">
        <f>AA46-AF46</f>
        <v>1354771.86</v>
      </c>
      <c r="V46" s="181">
        <f t="shared" ref="V46:V68" si="73">U46/H46</f>
        <v>0.9782021732019891</v>
      </c>
      <c r="W46" s="140">
        <f>S46-Y46</f>
        <v>1354771.86</v>
      </c>
      <c r="X46" s="140">
        <f>S46-U46-Y46</f>
        <v>0</v>
      </c>
      <c r="Y46" s="111">
        <f t="shared" si="29"/>
        <v>0</v>
      </c>
      <c r="Z46" s="110">
        <v>1354771.86</v>
      </c>
      <c r="AA46" s="65">
        <v>1354771.86</v>
      </c>
      <c r="AB46" s="65">
        <v>1354771.86</v>
      </c>
      <c r="AC46" s="65">
        <v>0</v>
      </c>
      <c r="AD46" s="111">
        <v>0</v>
      </c>
      <c r="AE46" s="110">
        <v>0</v>
      </c>
      <c r="AF46" s="65">
        <v>0</v>
      </c>
      <c r="AG46" s="65">
        <v>0</v>
      </c>
      <c r="AH46" s="65">
        <v>0</v>
      </c>
      <c r="AI46" s="111">
        <v>0</v>
      </c>
      <c r="AJ46" s="122"/>
      <c r="AK46" s="111"/>
    </row>
    <row r="47" spans="1:37" ht="115.5" outlineLevel="1">
      <c r="A47" s="236" t="s">
        <v>156</v>
      </c>
      <c r="B47" s="176" t="s">
        <v>157</v>
      </c>
      <c r="C47" s="177" t="s">
        <v>89</v>
      </c>
      <c r="D47" s="177" t="s">
        <v>8</v>
      </c>
      <c r="E47" s="178"/>
      <c r="F47" s="179"/>
      <c r="G47" s="61">
        <f t="shared" ref="G47:H47" si="74">SUM(G48:G49)</f>
        <v>14127786</v>
      </c>
      <c r="H47" s="103">
        <f t="shared" si="74"/>
        <v>13227786</v>
      </c>
      <c r="I47" s="198">
        <v>0.87470000000000003</v>
      </c>
      <c r="J47" s="110">
        <f>SUM(J48:J49)</f>
        <v>12313902.978649002</v>
      </c>
      <c r="K47" s="145">
        <f>SUM(K48:K49)</f>
        <v>14077858.670000002</v>
      </c>
      <c r="L47" s="65">
        <f>SUM(L48:L49)</f>
        <v>13191203.180000002</v>
      </c>
      <c r="M47" s="181">
        <f t="shared" si="71"/>
        <v>0.99723439583918283</v>
      </c>
      <c r="N47" s="61">
        <f>SUM(N48:N49)</f>
        <v>14077858.670000002</v>
      </c>
      <c r="O47" s="61">
        <f t="shared" ref="O47:P47" si="75">SUM(O48:O49)</f>
        <v>886655.49000000115</v>
      </c>
      <c r="P47" s="102">
        <f t="shared" si="75"/>
        <v>0</v>
      </c>
      <c r="Q47" s="163">
        <f>SUM(Q48:Q49)</f>
        <v>12049206.853982003</v>
      </c>
      <c r="R47" s="249">
        <f t="shared" si="4"/>
        <v>0.91090125391974164</v>
      </c>
      <c r="S47" s="120">
        <f>SUM(S48:S49)</f>
        <v>13775245.060000002</v>
      </c>
      <c r="T47" s="181">
        <f t="shared" si="72"/>
        <v>0.97504627122749465</v>
      </c>
      <c r="U47" s="65">
        <f>SUM(U48:U49)</f>
        <v>12888369.550000004</v>
      </c>
      <c r="V47" s="181">
        <f t="shared" si="73"/>
        <v>0.97434064551694477</v>
      </c>
      <c r="W47" s="65">
        <f>SUM(W48:W49)</f>
        <v>13775245.060000002</v>
      </c>
      <c r="X47" s="65">
        <f t="shared" ref="X47:Y47" si="76">SUM(X48:X49)</f>
        <v>886875.50999999978</v>
      </c>
      <c r="Y47" s="111">
        <f t="shared" si="76"/>
        <v>0</v>
      </c>
      <c r="Z47" s="108">
        <f>SUM(Z48:Z49)</f>
        <v>13787334.750000004</v>
      </c>
      <c r="AA47" s="61">
        <f t="shared" ref="AA47:AI47" si="77">SUM(AA48:AA49)</f>
        <v>12900434.750000004</v>
      </c>
      <c r="AB47" s="61">
        <f t="shared" si="77"/>
        <v>13787334.750000004</v>
      </c>
      <c r="AC47" s="61">
        <f t="shared" si="77"/>
        <v>886899.99999999977</v>
      </c>
      <c r="AD47" s="109">
        <f t="shared" si="77"/>
        <v>0</v>
      </c>
      <c r="AE47" s="108">
        <f t="shared" si="77"/>
        <v>12089.689999999999</v>
      </c>
      <c r="AF47" s="61">
        <f t="shared" si="77"/>
        <v>12065.199999999999</v>
      </c>
      <c r="AG47" s="61">
        <f t="shared" si="77"/>
        <v>12089.689999999999</v>
      </c>
      <c r="AH47" s="61">
        <f t="shared" si="77"/>
        <v>24.49</v>
      </c>
      <c r="AI47" s="109">
        <f t="shared" si="77"/>
        <v>0</v>
      </c>
      <c r="AJ47" s="122"/>
      <c r="AK47" s="111"/>
    </row>
    <row r="48" spans="1:37" ht="165" outlineLevel="1">
      <c r="A48" s="234" t="s">
        <v>158</v>
      </c>
      <c r="B48" s="183" t="s">
        <v>159</v>
      </c>
      <c r="C48" s="182" t="s">
        <v>89</v>
      </c>
      <c r="D48" s="182" t="s">
        <v>8</v>
      </c>
      <c r="E48" s="178" t="s">
        <v>160</v>
      </c>
      <c r="F48" s="179">
        <v>12</v>
      </c>
      <c r="G48" s="61">
        <v>6000000</v>
      </c>
      <c r="H48" s="103">
        <v>5100000</v>
      </c>
      <c r="I48" s="198">
        <v>0.87470000000000003</v>
      </c>
      <c r="J48" s="220">
        <f>K48*I48</f>
        <v>5170382.2532710005</v>
      </c>
      <c r="K48" s="145">
        <v>5911034.9300000006</v>
      </c>
      <c r="L48" s="61">
        <v>5024379.4399999995</v>
      </c>
      <c r="M48" s="181">
        <f t="shared" si="71"/>
        <v>0.9851724392156862</v>
      </c>
      <c r="N48" s="61">
        <f t="shared" si="33"/>
        <v>5911034.9300000006</v>
      </c>
      <c r="O48" s="61">
        <f t="shared" si="34"/>
        <v>886655.49000000115</v>
      </c>
      <c r="P48" s="103">
        <v>0</v>
      </c>
      <c r="Q48" s="188">
        <f>S48*I48</f>
        <v>5171666.2953769993</v>
      </c>
      <c r="R48" s="249">
        <f t="shared" si="4"/>
        <v>1.0140522147798039</v>
      </c>
      <c r="S48" s="145">
        <f t="shared" si="15"/>
        <v>5912502.9099999992</v>
      </c>
      <c r="T48" s="181">
        <f t="shared" si="72"/>
        <v>0.98541715166666655</v>
      </c>
      <c r="U48" s="61">
        <f>AA48-AF48</f>
        <v>5025627.3999999994</v>
      </c>
      <c r="V48" s="181">
        <f t="shared" si="73"/>
        <v>0.98541713725490188</v>
      </c>
      <c r="W48" s="140">
        <f>S48-Y48</f>
        <v>5912502.9099999992</v>
      </c>
      <c r="X48" s="140">
        <f>S48-U48-Y48</f>
        <v>886875.50999999978</v>
      </c>
      <c r="Y48" s="111">
        <f t="shared" si="29"/>
        <v>0</v>
      </c>
      <c r="Z48" s="108">
        <v>5912666.1199999992</v>
      </c>
      <c r="AA48" s="61">
        <v>5025766.1199999992</v>
      </c>
      <c r="AB48" s="61">
        <v>5912666.1199999992</v>
      </c>
      <c r="AC48" s="61">
        <v>886899.99999999977</v>
      </c>
      <c r="AD48" s="109">
        <v>0</v>
      </c>
      <c r="AE48" s="108">
        <v>163.21</v>
      </c>
      <c r="AF48" s="61">
        <v>138.72</v>
      </c>
      <c r="AG48" s="61">
        <v>163.21</v>
      </c>
      <c r="AH48" s="61">
        <v>24.49</v>
      </c>
      <c r="AI48" s="109">
        <v>0</v>
      </c>
      <c r="AJ48" s="122"/>
      <c r="AK48" s="111"/>
    </row>
    <row r="49" spans="1:37" s="32" customFormat="1" ht="132" outlineLevel="1">
      <c r="A49" s="234" t="s">
        <v>161</v>
      </c>
      <c r="B49" s="183" t="s">
        <v>162</v>
      </c>
      <c r="C49" s="182" t="s">
        <v>89</v>
      </c>
      <c r="D49" s="182" t="s">
        <v>163</v>
      </c>
      <c r="E49" s="178" t="s">
        <v>164</v>
      </c>
      <c r="F49" s="179">
        <v>12</v>
      </c>
      <c r="G49" s="61">
        <v>8127786</v>
      </c>
      <c r="H49" s="102">
        <v>8127786</v>
      </c>
      <c r="I49" s="198">
        <v>0.87470000000000003</v>
      </c>
      <c r="J49" s="220">
        <f>K49*I49</f>
        <v>7143520.725378002</v>
      </c>
      <c r="K49" s="144">
        <v>8166823.7400000021</v>
      </c>
      <c r="L49" s="61">
        <v>8166823.7400000021</v>
      </c>
      <c r="M49" s="181">
        <f t="shared" si="71"/>
        <v>1.004802998012005</v>
      </c>
      <c r="N49" s="61">
        <f t="shared" si="33"/>
        <v>8166823.7400000021</v>
      </c>
      <c r="O49" s="61">
        <f t="shared" si="34"/>
        <v>0</v>
      </c>
      <c r="P49" s="102">
        <v>0</v>
      </c>
      <c r="Q49" s="188">
        <f>S49*I49</f>
        <v>6877540.5586050041</v>
      </c>
      <c r="R49" s="249">
        <f t="shared" si="4"/>
        <v>0.84617638291719344</v>
      </c>
      <c r="S49" s="145">
        <f t="shared" si="15"/>
        <v>7862742.1500000041</v>
      </c>
      <c r="T49" s="181">
        <f t="shared" si="72"/>
        <v>0.9673904000425213</v>
      </c>
      <c r="U49" s="61">
        <f>AA49-AF49</f>
        <v>7862742.1500000041</v>
      </c>
      <c r="V49" s="181">
        <f t="shared" si="73"/>
        <v>0.9673904000425213</v>
      </c>
      <c r="W49" s="140">
        <f>S49-Y49</f>
        <v>7862742.1500000041</v>
      </c>
      <c r="X49" s="140">
        <f>S49-U49-Y49</f>
        <v>0</v>
      </c>
      <c r="Y49" s="109">
        <f t="shared" si="29"/>
        <v>0</v>
      </c>
      <c r="Z49" s="108">
        <v>7874668.6300000045</v>
      </c>
      <c r="AA49" s="61">
        <v>7874668.6300000045</v>
      </c>
      <c r="AB49" s="61">
        <v>7874668.6300000045</v>
      </c>
      <c r="AC49" s="61">
        <v>0</v>
      </c>
      <c r="AD49" s="109">
        <v>0</v>
      </c>
      <c r="AE49" s="108">
        <v>11926.48</v>
      </c>
      <c r="AF49" s="61">
        <v>11926.48</v>
      </c>
      <c r="AG49" s="61">
        <v>11926.48</v>
      </c>
      <c r="AH49" s="61">
        <v>0</v>
      </c>
      <c r="AI49" s="109">
        <v>0</v>
      </c>
      <c r="AJ49" s="120"/>
      <c r="AK49" s="109"/>
    </row>
    <row r="50" spans="1:37" s="32" customFormat="1" ht="66">
      <c r="A50" s="230" t="s">
        <v>165</v>
      </c>
      <c r="B50" s="167" t="s">
        <v>166</v>
      </c>
      <c r="C50" s="168" t="s">
        <v>283</v>
      </c>
      <c r="D50" s="168"/>
      <c r="E50" s="169"/>
      <c r="F50" s="170"/>
      <c r="G50" s="106">
        <f>G51</f>
        <v>315514048</v>
      </c>
      <c r="H50" s="106">
        <f>H51</f>
        <v>249273032</v>
      </c>
      <c r="I50" s="154">
        <v>0.79010000000000002</v>
      </c>
      <c r="J50" s="116">
        <f>J51+J52</f>
        <v>282927781.24669707</v>
      </c>
      <c r="K50" s="125">
        <f>K51+K52</f>
        <v>358091103.97000009</v>
      </c>
      <c r="L50" s="147">
        <f>L51+L52</f>
        <v>282883273.25000006</v>
      </c>
      <c r="M50" s="159">
        <f t="shared" si="71"/>
        <v>1.1348330422281703</v>
      </c>
      <c r="N50" s="59">
        <f>N51+N52</f>
        <v>322650175.56000006</v>
      </c>
      <c r="O50" s="59">
        <f>O51+O52</f>
        <v>39766902.310000017</v>
      </c>
      <c r="P50" s="105">
        <f>P51+P52</f>
        <v>35440928.410000004</v>
      </c>
      <c r="Q50" s="166">
        <f>Q51+Q52</f>
        <v>275103102.49689209</v>
      </c>
      <c r="R50" s="159">
        <f t="shared" si="4"/>
        <v>1.1036216003377859</v>
      </c>
      <c r="S50" s="147">
        <f>S51+S52</f>
        <v>348187700.92000008</v>
      </c>
      <c r="T50" s="159">
        <f t="shared" si="72"/>
        <v>1.1035568879646211</v>
      </c>
      <c r="U50" s="57">
        <f>U51+U52</f>
        <v>275487241.80000001</v>
      </c>
      <c r="V50" s="159">
        <f t="shared" si="73"/>
        <v>1.1051626386925</v>
      </c>
      <c r="W50" s="57">
        <f>W51+W52</f>
        <v>314874399.87</v>
      </c>
      <c r="X50" s="57">
        <f t="shared" ref="X50:Y50" si="78">X51+X52</f>
        <v>39387158.069999985</v>
      </c>
      <c r="Y50" s="117">
        <f t="shared" si="78"/>
        <v>33313301.050000008</v>
      </c>
      <c r="Z50" s="125">
        <f t="shared" ref="Z50" si="79">Z51+Z52</f>
        <v>355231716.1500001</v>
      </c>
      <c r="AA50" s="57">
        <f t="shared" ref="AA50" si="80">AA51+AA52</f>
        <v>280014337.90999997</v>
      </c>
      <c r="AB50" s="57">
        <f t="shared" ref="AB50" si="81">AB51+AB52</f>
        <v>320197700.75000006</v>
      </c>
      <c r="AC50" s="57">
        <f t="shared" ref="AC50" si="82">AC51+AC52</f>
        <v>40183362.840000004</v>
      </c>
      <c r="AD50" s="117">
        <f t="shared" ref="AD50" si="83">AD51+AD52</f>
        <v>35034015.400000006</v>
      </c>
      <c r="AE50" s="125">
        <f t="shared" ref="AE50" si="84">AE51+AE52</f>
        <v>7044015.2299999995</v>
      </c>
      <c r="AF50" s="57">
        <f t="shared" ref="AF50" si="85">AF51+AF52</f>
        <v>4527096.1099999994</v>
      </c>
      <c r="AG50" s="57">
        <f t="shared" ref="AG50" si="86">AG51+AG52</f>
        <v>5323300.879999999</v>
      </c>
      <c r="AH50" s="57">
        <f t="shared" ref="AH50" si="87">AH51+AH52</f>
        <v>796204.7699999999</v>
      </c>
      <c r="AI50" s="117">
        <f t="shared" ref="AI50" si="88">AI51+AI52</f>
        <v>1720714.3499999999</v>
      </c>
      <c r="AJ50" s="125">
        <v>213151670.96000001</v>
      </c>
      <c r="AK50" s="238">
        <f>AJ50/H50</f>
        <v>0.85509318537113155</v>
      </c>
    </row>
    <row r="51" spans="1:37" s="32" customFormat="1" ht="66">
      <c r="A51" s="230" t="s">
        <v>165</v>
      </c>
      <c r="B51" s="167" t="s">
        <v>166</v>
      </c>
      <c r="C51" s="168" t="s">
        <v>89</v>
      </c>
      <c r="D51" s="168"/>
      <c r="E51" s="169"/>
      <c r="F51" s="204"/>
      <c r="G51" s="57">
        <f>G54+G73</f>
        <v>315514048</v>
      </c>
      <c r="H51" s="57">
        <f>H54+H73</f>
        <v>249273032</v>
      </c>
      <c r="I51" s="154">
        <v>0.79010000000000002</v>
      </c>
      <c r="J51" s="116">
        <f>J54+J73</f>
        <v>282586673.58597708</v>
      </c>
      <c r="K51" s="147">
        <f>K54+K73</f>
        <v>357659376.7700001</v>
      </c>
      <c r="L51" s="57">
        <f>L54+L73</f>
        <v>282451546.05000007</v>
      </c>
      <c r="M51" s="159">
        <f t="shared" si="71"/>
        <v>1.1331010971535824</v>
      </c>
      <c r="N51" s="57">
        <f>N54+N73</f>
        <v>322218448.36000007</v>
      </c>
      <c r="O51" s="57">
        <f t="shared" ref="O51:AI51" si="89">O54+O73</f>
        <v>39766902.310000017</v>
      </c>
      <c r="P51" s="106">
        <f t="shared" si="89"/>
        <v>35440928.410000004</v>
      </c>
      <c r="Q51" s="166">
        <f t="shared" ref="Q51" si="90">Q54+Q73</f>
        <v>274764123.97394907</v>
      </c>
      <c r="R51" s="159">
        <f t="shared" si="4"/>
        <v>1.1022617319227259</v>
      </c>
      <c r="S51" s="147">
        <f t="shared" si="89"/>
        <v>347758668.49000007</v>
      </c>
      <c r="T51" s="159">
        <f t="shared" si="72"/>
        <v>1.1021970992873193</v>
      </c>
      <c r="U51" s="57">
        <f t="shared" si="89"/>
        <v>275058209.37</v>
      </c>
      <c r="V51" s="159">
        <f t="shared" si="73"/>
        <v>1.1034415041335077</v>
      </c>
      <c r="W51" s="57">
        <f t="shared" si="89"/>
        <v>314445367.44</v>
      </c>
      <c r="X51" s="57">
        <f t="shared" si="89"/>
        <v>39387158.069999985</v>
      </c>
      <c r="Y51" s="117">
        <f t="shared" si="89"/>
        <v>33313301.050000008</v>
      </c>
      <c r="Z51" s="166">
        <f t="shared" si="89"/>
        <v>354802683.72000009</v>
      </c>
      <c r="AA51" s="57">
        <f t="shared" si="89"/>
        <v>279585305.47999996</v>
      </c>
      <c r="AB51" s="57">
        <f t="shared" si="89"/>
        <v>319768668.32000005</v>
      </c>
      <c r="AC51" s="57">
        <f t="shared" si="89"/>
        <v>40183362.840000004</v>
      </c>
      <c r="AD51" s="117">
        <f t="shared" si="89"/>
        <v>35034015.400000006</v>
      </c>
      <c r="AE51" s="166">
        <f t="shared" si="89"/>
        <v>7044015.2299999995</v>
      </c>
      <c r="AF51" s="57">
        <f t="shared" si="89"/>
        <v>4527096.1099999994</v>
      </c>
      <c r="AG51" s="57">
        <f t="shared" si="89"/>
        <v>5323300.879999999</v>
      </c>
      <c r="AH51" s="57">
        <f t="shared" si="89"/>
        <v>796204.7699999999</v>
      </c>
      <c r="AI51" s="117">
        <f t="shared" si="89"/>
        <v>1720714.3499999999</v>
      </c>
      <c r="AJ51" s="125"/>
      <c r="AK51" s="238"/>
    </row>
    <row r="52" spans="1:37" s="32" customFormat="1" ht="66">
      <c r="A52" s="230" t="s">
        <v>165</v>
      </c>
      <c r="B52" s="167" t="s">
        <v>166</v>
      </c>
      <c r="C52" s="168" t="s">
        <v>284</v>
      </c>
      <c r="D52" s="168"/>
      <c r="E52" s="169"/>
      <c r="F52" s="204"/>
      <c r="G52" s="57" t="str">
        <f t="shared" ref="G52:H52" si="91">G55</f>
        <v>n/a</v>
      </c>
      <c r="H52" s="57" t="str">
        <f t="shared" si="91"/>
        <v>n/a</v>
      </c>
      <c r="I52" s="154">
        <v>0.79010000000000002</v>
      </c>
      <c r="J52" s="116">
        <f>J55</f>
        <v>341107.66072000004</v>
      </c>
      <c r="K52" s="147">
        <f>K55</f>
        <v>431727.2</v>
      </c>
      <c r="L52" s="57">
        <f t="shared" ref="L52:AI52" si="92">L55</f>
        <v>431727.20000000007</v>
      </c>
      <c r="M52" s="159" t="s">
        <v>308</v>
      </c>
      <c r="N52" s="57">
        <f>N55</f>
        <v>431727.2</v>
      </c>
      <c r="O52" s="57">
        <f t="shared" si="92"/>
        <v>0</v>
      </c>
      <c r="P52" s="106">
        <f t="shared" si="92"/>
        <v>0</v>
      </c>
      <c r="Q52" s="166">
        <f t="shared" ref="Q52" si="93">Q55</f>
        <v>338978.52294300002</v>
      </c>
      <c r="R52" s="159" t="s">
        <v>308</v>
      </c>
      <c r="S52" s="147">
        <f t="shared" si="92"/>
        <v>429032.43</v>
      </c>
      <c r="T52" s="159" t="s">
        <v>308</v>
      </c>
      <c r="U52" s="57">
        <f t="shared" si="92"/>
        <v>429032.43</v>
      </c>
      <c r="V52" s="159" t="s">
        <v>308</v>
      </c>
      <c r="W52" s="57">
        <f t="shared" si="92"/>
        <v>429032.43</v>
      </c>
      <c r="X52" s="57">
        <f t="shared" si="92"/>
        <v>0</v>
      </c>
      <c r="Y52" s="117">
        <f t="shared" si="92"/>
        <v>0</v>
      </c>
      <c r="Z52" s="166">
        <f t="shared" si="92"/>
        <v>429032.43</v>
      </c>
      <c r="AA52" s="57">
        <f t="shared" si="92"/>
        <v>429032.43</v>
      </c>
      <c r="AB52" s="57">
        <f t="shared" si="92"/>
        <v>429032.43</v>
      </c>
      <c r="AC52" s="57">
        <f t="shared" si="92"/>
        <v>0</v>
      </c>
      <c r="AD52" s="117">
        <f t="shared" si="92"/>
        <v>0</v>
      </c>
      <c r="AE52" s="166">
        <f t="shared" si="92"/>
        <v>0</v>
      </c>
      <c r="AF52" s="57">
        <f t="shared" si="92"/>
        <v>0</v>
      </c>
      <c r="AG52" s="57">
        <f t="shared" si="92"/>
        <v>0</v>
      </c>
      <c r="AH52" s="57">
        <f t="shared" si="92"/>
        <v>0</v>
      </c>
      <c r="AI52" s="117">
        <f t="shared" si="92"/>
        <v>0</v>
      </c>
      <c r="AJ52" s="125"/>
      <c r="AK52" s="238"/>
    </row>
    <row r="53" spans="1:37" s="32" customFormat="1" ht="68.25" customHeight="1">
      <c r="A53" s="232" t="s">
        <v>167</v>
      </c>
      <c r="B53" s="171" t="s">
        <v>168</v>
      </c>
      <c r="C53" s="172" t="s">
        <v>283</v>
      </c>
      <c r="D53" s="172"/>
      <c r="E53" s="173"/>
      <c r="F53" s="205"/>
      <c r="G53" s="60">
        <f>G56+G62+G63+G67+G68+G69+G70+G71+G72</f>
        <v>301145525</v>
      </c>
      <c r="H53" s="58">
        <f>H56+H62+H63+H67+H68+H69+H70+H71+H72</f>
        <v>236865098</v>
      </c>
      <c r="I53" s="155">
        <v>0.79010000000000002</v>
      </c>
      <c r="J53" s="112">
        <f>J54+J55</f>
        <v>270251506.0173831</v>
      </c>
      <c r="K53" s="146">
        <f>K54+K55</f>
        <v>342047216.8300001</v>
      </c>
      <c r="L53" s="58">
        <f>L54+L55</f>
        <v>269078840.49000007</v>
      </c>
      <c r="M53" s="175">
        <f t="shared" si="71"/>
        <v>1.1360003764252344</v>
      </c>
      <c r="N53" s="60">
        <f>N54+N55</f>
        <v>306606288.42000008</v>
      </c>
      <c r="O53" s="60">
        <f t="shared" ref="O53:P53" si="94">O54+O55</f>
        <v>37527447.930000022</v>
      </c>
      <c r="P53" s="107">
        <f t="shared" si="94"/>
        <v>35440928.410000004</v>
      </c>
      <c r="Q53" s="165">
        <f>Q54+Q55</f>
        <v>262709157.33503804</v>
      </c>
      <c r="R53" s="175">
        <f t="shared" si="4"/>
        <v>1.10910876930901</v>
      </c>
      <c r="S53" s="143">
        <f>S54+S55</f>
        <v>332501148.38000005</v>
      </c>
      <c r="T53" s="175">
        <f t="shared" si="72"/>
        <v>1.104121166602094</v>
      </c>
      <c r="U53" s="58">
        <f>U54+U55</f>
        <v>261940673.91</v>
      </c>
      <c r="V53" s="175">
        <f t="shared" si="73"/>
        <v>1.1058643764815026</v>
      </c>
      <c r="W53" s="58">
        <f>W54+W55</f>
        <v>299187847.32999998</v>
      </c>
      <c r="X53" s="58">
        <f>X54+X55</f>
        <v>37247173.419999987</v>
      </c>
      <c r="Y53" s="113">
        <f>Y54+Y55</f>
        <v>33313301.050000008</v>
      </c>
      <c r="Z53" s="104">
        <f t="shared" ref="Z53:AI53" si="95">Z54+Z55</f>
        <v>339545163.61000007</v>
      </c>
      <c r="AA53" s="58">
        <f t="shared" si="95"/>
        <v>266467770.01999998</v>
      </c>
      <c r="AB53" s="58">
        <f t="shared" si="95"/>
        <v>304511148.21000004</v>
      </c>
      <c r="AC53" s="58">
        <f t="shared" si="95"/>
        <v>38043378.190000005</v>
      </c>
      <c r="AD53" s="113">
        <f t="shared" si="95"/>
        <v>35034015.400000006</v>
      </c>
      <c r="AE53" s="104">
        <f t="shared" si="95"/>
        <v>7044015.2299999995</v>
      </c>
      <c r="AF53" s="58">
        <f t="shared" si="95"/>
        <v>4527096.1099999994</v>
      </c>
      <c r="AG53" s="58">
        <f t="shared" si="95"/>
        <v>5323300.879999999</v>
      </c>
      <c r="AH53" s="58">
        <f t="shared" si="95"/>
        <v>796204.7699999999</v>
      </c>
      <c r="AI53" s="113">
        <f t="shared" si="95"/>
        <v>1720714.3499999999</v>
      </c>
      <c r="AJ53" s="124"/>
      <c r="AK53" s="113"/>
    </row>
    <row r="54" spans="1:37" s="32" customFormat="1" ht="33">
      <c r="A54" s="232" t="s">
        <v>167</v>
      </c>
      <c r="B54" s="171" t="s">
        <v>168</v>
      </c>
      <c r="C54" s="172" t="s">
        <v>89</v>
      </c>
      <c r="D54" s="172"/>
      <c r="E54" s="173"/>
      <c r="F54" s="205"/>
      <c r="G54" s="58">
        <f>G56+G62+G64+G65+G67+G68+G69+G70+G71+G72</f>
        <v>301145525</v>
      </c>
      <c r="H54" s="58">
        <f t="shared" ref="H54" si="96">H56+H62+H64+H65+H67+H68+H69+H70+H71+H72</f>
        <v>236865098</v>
      </c>
      <c r="I54" s="155">
        <v>0.79010000000000002</v>
      </c>
      <c r="J54" s="112">
        <f>J56+J62+J64+J65+J67+J68+J69+J70+J71+J72</f>
        <v>269910398.35666311</v>
      </c>
      <c r="K54" s="146">
        <f>K56+K62+K64+K65+K67+K68+K69+K70+K71+K72</f>
        <v>341615489.63000011</v>
      </c>
      <c r="L54" s="58">
        <f>L56+L62+L64+L65+L67+L68+L69+L70+L71+L72</f>
        <v>268647113.29000008</v>
      </c>
      <c r="M54" s="175">
        <f t="shared" si="71"/>
        <v>1.1341777051931901</v>
      </c>
      <c r="N54" s="58">
        <f>N56+N62+N64+N65+N67+N68+N69+N70+N71+N72</f>
        <v>306174561.22000009</v>
      </c>
      <c r="O54" s="58">
        <f t="shared" ref="O54:AI54" si="97">O56+O62+O64+O65+O67+O68+O69+O70+O71+O72</f>
        <v>37527447.930000022</v>
      </c>
      <c r="P54" s="104">
        <f t="shared" si="97"/>
        <v>35440928.410000004</v>
      </c>
      <c r="Q54" s="189">
        <f t="shared" ref="Q54" si="98">Q56+Q62+Q64+Q65+Q67+Q68+Q69+Q70+Q71+Q72</f>
        <v>262370178.81209505</v>
      </c>
      <c r="R54" s="175">
        <f t="shared" si="4"/>
        <v>1.1076776655887692</v>
      </c>
      <c r="S54" s="146">
        <f t="shared" si="97"/>
        <v>332072115.95000005</v>
      </c>
      <c r="T54" s="175">
        <f t="shared" si="72"/>
        <v>1.1026964984786012</v>
      </c>
      <c r="U54" s="58">
        <f t="shared" si="97"/>
        <v>261511641.47999999</v>
      </c>
      <c r="V54" s="175">
        <f t="shared" si="73"/>
        <v>1.1040530820627696</v>
      </c>
      <c r="W54" s="58">
        <f t="shared" si="97"/>
        <v>298758814.89999998</v>
      </c>
      <c r="X54" s="58">
        <f t="shared" si="97"/>
        <v>37247173.419999987</v>
      </c>
      <c r="Y54" s="113">
        <f t="shared" si="97"/>
        <v>33313301.050000008</v>
      </c>
      <c r="Z54" s="189">
        <f t="shared" si="97"/>
        <v>339116131.18000007</v>
      </c>
      <c r="AA54" s="58">
        <f t="shared" si="97"/>
        <v>266038737.58999997</v>
      </c>
      <c r="AB54" s="58">
        <f t="shared" si="97"/>
        <v>304082115.78000003</v>
      </c>
      <c r="AC54" s="58">
        <f t="shared" si="97"/>
        <v>38043378.190000005</v>
      </c>
      <c r="AD54" s="113">
        <f t="shared" si="97"/>
        <v>35034015.400000006</v>
      </c>
      <c r="AE54" s="189">
        <f t="shared" si="97"/>
        <v>7044015.2299999995</v>
      </c>
      <c r="AF54" s="58">
        <f t="shared" si="97"/>
        <v>4527096.1099999994</v>
      </c>
      <c r="AG54" s="58">
        <f t="shared" si="97"/>
        <v>5323300.879999999</v>
      </c>
      <c r="AH54" s="58">
        <f t="shared" si="97"/>
        <v>796204.7699999999</v>
      </c>
      <c r="AI54" s="113">
        <f t="shared" si="97"/>
        <v>1720714.3499999999</v>
      </c>
      <c r="AJ54" s="124"/>
      <c r="AK54" s="113"/>
    </row>
    <row r="55" spans="1:37" s="32" customFormat="1" ht="33">
      <c r="A55" s="232" t="s">
        <v>167</v>
      </c>
      <c r="B55" s="171" t="s">
        <v>168</v>
      </c>
      <c r="C55" s="172" t="s">
        <v>284</v>
      </c>
      <c r="D55" s="172"/>
      <c r="E55" s="173"/>
      <c r="F55" s="205"/>
      <c r="G55" s="58" t="str">
        <f t="shared" ref="G55:H55" si="99">G66</f>
        <v>n/a</v>
      </c>
      <c r="H55" s="58" t="str">
        <f t="shared" si="99"/>
        <v>n/a</v>
      </c>
      <c r="I55" s="206">
        <v>0.79010000000000002</v>
      </c>
      <c r="J55" s="112">
        <f>J66</f>
        <v>341107.66072000004</v>
      </c>
      <c r="K55" s="146">
        <f>K66</f>
        <v>431727.2</v>
      </c>
      <c r="L55" s="58">
        <f>L66</f>
        <v>431727.20000000007</v>
      </c>
      <c r="M55" s="175" t="s">
        <v>308</v>
      </c>
      <c r="N55" s="58">
        <f>N66</f>
        <v>431727.2</v>
      </c>
      <c r="O55" s="58">
        <f t="shared" ref="O55:AI55" si="100">O66</f>
        <v>0</v>
      </c>
      <c r="P55" s="104">
        <f t="shared" si="100"/>
        <v>0</v>
      </c>
      <c r="Q55" s="189">
        <f t="shared" ref="Q55" si="101">Q66</f>
        <v>338978.52294300002</v>
      </c>
      <c r="R55" s="175" t="s">
        <v>308</v>
      </c>
      <c r="S55" s="146">
        <f t="shared" si="100"/>
        <v>429032.43</v>
      </c>
      <c r="T55" s="175" t="s">
        <v>308</v>
      </c>
      <c r="U55" s="58">
        <f>U66</f>
        <v>429032.43</v>
      </c>
      <c r="V55" s="175" t="s">
        <v>308</v>
      </c>
      <c r="W55" s="58">
        <f t="shared" si="100"/>
        <v>429032.43</v>
      </c>
      <c r="X55" s="58">
        <f t="shared" si="100"/>
        <v>0</v>
      </c>
      <c r="Y55" s="113">
        <f t="shared" si="100"/>
        <v>0</v>
      </c>
      <c r="Z55" s="189">
        <f t="shared" si="100"/>
        <v>429032.43</v>
      </c>
      <c r="AA55" s="58">
        <f t="shared" si="100"/>
        <v>429032.43</v>
      </c>
      <c r="AB55" s="58">
        <f t="shared" si="100"/>
        <v>429032.43</v>
      </c>
      <c r="AC55" s="58">
        <f t="shared" si="100"/>
        <v>0</v>
      </c>
      <c r="AD55" s="113">
        <f t="shared" si="100"/>
        <v>0</v>
      </c>
      <c r="AE55" s="189">
        <f t="shared" si="100"/>
        <v>0</v>
      </c>
      <c r="AF55" s="58">
        <f t="shared" si="100"/>
        <v>0</v>
      </c>
      <c r="AG55" s="58">
        <f t="shared" si="100"/>
        <v>0</v>
      </c>
      <c r="AH55" s="58">
        <f t="shared" si="100"/>
        <v>0</v>
      </c>
      <c r="AI55" s="113">
        <f t="shared" si="100"/>
        <v>0</v>
      </c>
      <c r="AJ55" s="124"/>
      <c r="AK55" s="113"/>
    </row>
    <row r="56" spans="1:37" s="56" customFormat="1" ht="115.5" outlineLevel="1">
      <c r="A56" s="236" t="s">
        <v>169</v>
      </c>
      <c r="B56" s="176" t="s">
        <v>170</v>
      </c>
      <c r="C56" s="177" t="s">
        <v>89</v>
      </c>
      <c r="D56" s="177"/>
      <c r="E56" s="178"/>
      <c r="F56" s="179"/>
      <c r="G56" s="61">
        <f t="shared" ref="G56:H56" si="102">SUM(G57:G61)</f>
        <v>173792794</v>
      </c>
      <c r="H56" s="103">
        <f t="shared" si="102"/>
        <v>141763254</v>
      </c>
      <c r="I56" s="200">
        <v>0.79010000000000002</v>
      </c>
      <c r="J56" s="110">
        <f>SUM(J57:J61)</f>
        <v>143186505.91526905</v>
      </c>
      <c r="K56" s="145">
        <f>SUM(K57:K61)</f>
        <v>181225801.69000003</v>
      </c>
      <c r="L56" s="65">
        <f>SUM(L57:L61)</f>
        <v>147355972.09000009</v>
      </c>
      <c r="M56" s="181">
        <f t="shared" si="71"/>
        <v>1.0394511125569965</v>
      </c>
      <c r="N56" s="61">
        <f>SUM(N57:N61)</f>
        <v>158407498.46000007</v>
      </c>
      <c r="O56" s="61">
        <f t="shared" ref="O56:P56" si="103">SUM(O57:O61)</f>
        <v>11051526.369999968</v>
      </c>
      <c r="P56" s="102">
        <f t="shared" si="103"/>
        <v>22818303.23</v>
      </c>
      <c r="Q56" s="163">
        <f>SUM(Q57:Q61)</f>
        <v>142072969.79707</v>
      </c>
      <c r="R56" s="249">
        <f t="shared" si="4"/>
        <v>1.00218473961574</v>
      </c>
      <c r="S56" s="120">
        <f>SUM(S57:S61)</f>
        <v>179816440.70000005</v>
      </c>
      <c r="T56" s="181">
        <f t="shared" si="72"/>
        <v>1.0346599335988582</v>
      </c>
      <c r="U56" s="65">
        <f>SUM(U57:U61)</f>
        <v>146324394.72999996</v>
      </c>
      <c r="V56" s="181">
        <f t="shared" si="73"/>
        <v>1.0321743512603059</v>
      </c>
      <c r="W56" s="65">
        <f t="shared" ref="W56:Y56" si="104">SUM(W57:W61)</f>
        <v>157300308.79999998</v>
      </c>
      <c r="X56" s="65">
        <f t="shared" si="104"/>
        <v>10975914.07</v>
      </c>
      <c r="Y56" s="111">
        <f t="shared" si="104"/>
        <v>22516131.900000006</v>
      </c>
      <c r="Z56" s="108">
        <f t="shared" ref="Z56:AI56" si="105">SUM(Z57:Z61)</f>
        <v>179841654.69</v>
      </c>
      <c r="AA56" s="61">
        <f t="shared" si="105"/>
        <v>146340918.06999996</v>
      </c>
      <c r="AB56" s="61">
        <f t="shared" si="105"/>
        <v>157316949.51999998</v>
      </c>
      <c r="AC56" s="61">
        <f t="shared" si="105"/>
        <v>10976031.450000003</v>
      </c>
      <c r="AD56" s="109">
        <f t="shared" si="105"/>
        <v>22524705.170000006</v>
      </c>
      <c r="AE56" s="108">
        <f t="shared" si="105"/>
        <v>25213.990000000005</v>
      </c>
      <c r="AF56" s="61">
        <f t="shared" si="105"/>
        <v>16523.34</v>
      </c>
      <c r="AG56" s="61">
        <f t="shared" si="105"/>
        <v>16640.72</v>
      </c>
      <c r="AH56" s="61">
        <f t="shared" si="105"/>
        <v>117.38</v>
      </c>
      <c r="AI56" s="109">
        <f t="shared" si="105"/>
        <v>8573.27</v>
      </c>
      <c r="AJ56" s="122"/>
      <c r="AK56" s="111"/>
    </row>
    <row r="57" spans="1:37" ht="99" outlineLevel="1">
      <c r="A57" s="234" t="s">
        <v>273</v>
      </c>
      <c r="B57" s="183" t="s">
        <v>171</v>
      </c>
      <c r="C57" s="182" t="s">
        <v>89</v>
      </c>
      <c r="D57" s="182" t="s">
        <v>10</v>
      </c>
      <c r="E57" s="178">
        <v>1</v>
      </c>
      <c r="F57" s="179">
        <v>8</v>
      </c>
      <c r="G57" s="61">
        <v>47371298</v>
      </c>
      <c r="H57" s="103">
        <v>30896184.999999996</v>
      </c>
      <c r="I57" s="200">
        <v>0.79010000000000002</v>
      </c>
      <c r="J57" s="220">
        <f>K57*I57</f>
        <v>39028520.231839016</v>
      </c>
      <c r="K57" s="122">
        <v>49396937.390000023</v>
      </c>
      <c r="L57" s="61">
        <v>30911385.390000015</v>
      </c>
      <c r="M57" s="181">
        <f t="shared" si="71"/>
        <v>1.0004919827480325</v>
      </c>
      <c r="N57" s="61">
        <f t="shared" si="33"/>
        <v>31518319.380000025</v>
      </c>
      <c r="O57" s="61">
        <f t="shared" si="34"/>
        <v>606933.99000000954</v>
      </c>
      <c r="P57" s="103">
        <v>17878618.009999998</v>
      </c>
      <c r="Q57" s="188">
        <f>S57*I57</f>
        <v>38487275.160776012</v>
      </c>
      <c r="R57" s="249">
        <f t="shared" si="4"/>
        <v>1.2456966826414335</v>
      </c>
      <c r="S57" s="145">
        <f t="shared" si="15"/>
        <v>48711903.760000013</v>
      </c>
      <c r="T57" s="181">
        <f t="shared" si="72"/>
        <v>1.0282999583418637</v>
      </c>
      <c r="U57" s="61">
        <f>AA57-AF57</f>
        <v>30456195.270000007</v>
      </c>
      <c r="V57" s="181">
        <f t="shared" si="73"/>
        <v>0.9857590919396686</v>
      </c>
      <c r="W57" s="140">
        <f t="shared" ref="W57:W62" si="106">S57-Y57</f>
        <v>31079621.940000005</v>
      </c>
      <c r="X57" s="140">
        <f t="shared" ref="X57:X62" si="107">S57-U57-Y57</f>
        <v>623426.66999999806</v>
      </c>
      <c r="Y57" s="111">
        <f t="shared" si="29"/>
        <v>17632281.820000008</v>
      </c>
      <c r="Z57" s="108">
        <v>48728476.680000015</v>
      </c>
      <c r="AA57" s="61">
        <v>30466303.420000006</v>
      </c>
      <c r="AB57" s="61">
        <v>31089730.090000007</v>
      </c>
      <c r="AC57" s="61">
        <v>623426.67000000004</v>
      </c>
      <c r="AD57" s="109">
        <v>17638746.590000007</v>
      </c>
      <c r="AE57" s="108">
        <v>16572.920000000002</v>
      </c>
      <c r="AF57" s="61">
        <v>10108.150000000001</v>
      </c>
      <c r="AG57" s="61">
        <v>10108.150000000001</v>
      </c>
      <c r="AH57" s="61">
        <v>0</v>
      </c>
      <c r="AI57" s="109">
        <v>6464.77</v>
      </c>
      <c r="AJ57" s="122"/>
      <c r="AK57" s="111"/>
    </row>
    <row r="58" spans="1:37" s="28" customFormat="1" ht="49.5" outlineLevel="1">
      <c r="A58" s="234" t="s">
        <v>274</v>
      </c>
      <c r="B58" s="183" t="s">
        <v>172</v>
      </c>
      <c r="C58" s="182" t="s">
        <v>89</v>
      </c>
      <c r="D58" s="182" t="s">
        <v>9</v>
      </c>
      <c r="E58" s="178">
        <v>1</v>
      </c>
      <c r="F58" s="179" t="s">
        <v>0</v>
      </c>
      <c r="G58" s="65">
        <v>107869176</v>
      </c>
      <c r="H58" s="103">
        <v>99432869</v>
      </c>
      <c r="I58" s="200">
        <v>0.79010000000000002</v>
      </c>
      <c r="J58" s="220">
        <f t="shared" ref="J58:J62" si="108">K58*I58</f>
        <v>91347356.42212902</v>
      </c>
      <c r="K58" s="122">
        <v>115614930.29000002</v>
      </c>
      <c r="L58" s="61">
        <v>106518770.87000006</v>
      </c>
      <c r="M58" s="181">
        <f t="shared" si="71"/>
        <v>1.0712631742527721</v>
      </c>
      <c r="N58" s="61">
        <f t="shared" si="33"/>
        <v>115614930.29000002</v>
      </c>
      <c r="O58" s="61">
        <f t="shared" si="34"/>
        <v>9096159.4199999571</v>
      </c>
      <c r="P58" s="103">
        <v>0</v>
      </c>
      <c r="Q58" s="188">
        <f t="shared" ref="Q58:Q62" si="109">S58*I58</f>
        <v>90993801.360088006</v>
      </c>
      <c r="R58" s="249">
        <f t="shared" si="4"/>
        <v>0.9151279881111346</v>
      </c>
      <c r="S58" s="145">
        <f t="shared" si="15"/>
        <v>115167448.88</v>
      </c>
      <c r="T58" s="181">
        <f t="shared" si="72"/>
        <v>1.0676585578070976</v>
      </c>
      <c r="U58" s="61">
        <f t="shared" ref="U58:U62" si="110">AA58-AF58</f>
        <v>106136633.95999999</v>
      </c>
      <c r="V58" s="181">
        <f t="shared" si="73"/>
        <v>1.0674200093733592</v>
      </c>
      <c r="W58" s="140">
        <f t="shared" si="106"/>
        <v>115167448.88</v>
      </c>
      <c r="X58" s="140">
        <f t="shared" si="107"/>
        <v>9030814.9200000018</v>
      </c>
      <c r="Y58" s="111">
        <f t="shared" si="29"/>
        <v>0</v>
      </c>
      <c r="Z58" s="110">
        <v>115167520.11999999</v>
      </c>
      <c r="AA58" s="65">
        <v>106136695.41999999</v>
      </c>
      <c r="AB58" s="65">
        <v>115167520.11999999</v>
      </c>
      <c r="AC58" s="65">
        <v>9030824.700000003</v>
      </c>
      <c r="AD58" s="111">
        <v>0</v>
      </c>
      <c r="AE58" s="110">
        <v>71.240000000000009</v>
      </c>
      <c r="AF58" s="65">
        <v>61.46</v>
      </c>
      <c r="AG58" s="65">
        <v>71.240000000000009</v>
      </c>
      <c r="AH58" s="65">
        <v>9.7800000000000011</v>
      </c>
      <c r="AI58" s="111">
        <v>0</v>
      </c>
      <c r="AJ58" s="122"/>
      <c r="AK58" s="111"/>
    </row>
    <row r="59" spans="1:37" s="32" customFormat="1" ht="132" outlineLevel="1">
      <c r="A59" s="234" t="s">
        <v>275</v>
      </c>
      <c r="B59" s="183" t="s">
        <v>173</v>
      </c>
      <c r="C59" s="182" t="s">
        <v>89</v>
      </c>
      <c r="D59" s="182" t="s">
        <v>10</v>
      </c>
      <c r="E59" s="178">
        <v>1</v>
      </c>
      <c r="F59" s="179">
        <v>8</v>
      </c>
      <c r="G59" s="61">
        <v>4312555</v>
      </c>
      <c r="H59" s="102">
        <v>2796304</v>
      </c>
      <c r="I59" s="200">
        <v>0.79010000000000002</v>
      </c>
      <c r="J59" s="220">
        <f t="shared" si="108"/>
        <v>3479373.2304480006</v>
      </c>
      <c r="K59" s="120">
        <v>4403712.4800000004</v>
      </c>
      <c r="L59" s="61">
        <v>2917470.2499999995</v>
      </c>
      <c r="M59" s="181">
        <f t="shared" si="71"/>
        <v>1.0433308574461144</v>
      </c>
      <c r="N59" s="61">
        <f t="shared" si="33"/>
        <v>2917470.25</v>
      </c>
      <c r="O59" s="61">
        <f t="shared" si="34"/>
        <v>0</v>
      </c>
      <c r="P59" s="102">
        <v>1486242.2300000004</v>
      </c>
      <c r="Q59" s="188">
        <f t="shared" si="109"/>
        <v>3353813.6119369986</v>
      </c>
      <c r="R59" s="249">
        <f t="shared" si="4"/>
        <v>1.1993737490405187</v>
      </c>
      <c r="S59" s="145">
        <f t="shared" si="15"/>
        <v>4244796.3699999982</v>
      </c>
      <c r="T59" s="181">
        <f t="shared" si="72"/>
        <v>0.98428805429727817</v>
      </c>
      <c r="U59" s="61">
        <f t="shared" si="110"/>
        <v>2812306.7599999984</v>
      </c>
      <c r="V59" s="181">
        <f t="shared" si="73"/>
        <v>1.0057228255583077</v>
      </c>
      <c r="W59" s="140">
        <f t="shared" si="106"/>
        <v>2812306.7599999984</v>
      </c>
      <c r="X59" s="140">
        <f t="shared" si="107"/>
        <v>0</v>
      </c>
      <c r="Y59" s="109">
        <f t="shared" si="29"/>
        <v>1432489.6099999999</v>
      </c>
      <c r="Z59" s="108">
        <v>4252905.9999999981</v>
      </c>
      <c r="AA59" s="61">
        <v>2818307.8899999983</v>
      </c>
      <c r="AB59" s="61">
        <v>2818307.8899999983</v>
      </c>
      <c r="AC59" s="61">
        <v>0</v>
      </c>
      <c r="AD59" s="109">
        <v>1434598.1099999999</v>
      </c>
      <c r="AE59" s="108">
        <v>8109.63</v>
      </c>
      <c r="AF59" s="61">
        <v>6001.13</v>
      </c>
      <c r="AG59" s="61">
        <v>6001.13</v>
      </c>
      <c r="AH59" s="61">
        <v>0</v>
      </c>
      <c r="AI59" s="109">
        <v>2108.5</v>
      </c>
      <c r="AJ59" s="120"/>
      <c r="AK59" s="109"/>
    </row>
    <row r="60" spans="1:37" ht="49.5" outlineLevel="1">
      <c r="A60" s="234" t="s">
        <v>174</v>
      </c>
      <c r="B60" s="183" t="s">
        <v>175</v>
      </c>
      <c r="C60" s="182" t="s">
        <v>89</v>
      </c>
      <c r="D60" s="182" t="s">
        <v>9</v>
      </c>
      <c r="E60" s="178">
        <v>1</v>
      </c>
      <c r="F60" s="179">
        <v>8</v>
      </c>
      <c r="G60" s="61">
        <v>5702533</v>
      </c>
      <c r="H60" s="103">
        <v>4369280</v>
      </c>
      <c r="I60" s="200">
        <v>0.79010000000000002</v>
      </c>
      <c r="J60" s="220">
        <f t="shared" si="108"/>
        <v>4556872.9271520004</v>
      </c>
      <c r="K60" s="122">
        <v>5767463.5200000005</v>
      </c>
      <c r="L60" s="61">
        <v>4419030.5599999996</v>
      </c>
      <c r="M60" s="181">
        <f t="shared" si="71"/>
        <v>1.0113864435330304</v>
      </c>
      <c r="N60" s="61">
        <f t="shared" si="33"/>
        <v>5767463.5200000005</v>
      </c>
      <c r="O60" s="61">
        <f t="shared" si="34"/>
        <v>1348432.9600000009</v>
      </c>
      <c r="P60" s="103">
        <v>0</v>
      </c>
      <c r="Q60" s="188">
        <f t="shared" si="109"/>
        <v>4466438.8949549999</v>
      </c>
      <c r="R60" s="249">
        <f t="shared" si="4"/>
        <v>1.0222368204727095</v>
      </c>
      <c r="S60" s="145">
        <f t="shared" si="15"/>
        <v>5653004.5499999998</v>
      </c>
      <c r="T60" s="181">
        <f t="shared" si="72"/>
        <v>0.99131465788974826</v>
      </c>
      <c r="U60" s="61">
        <f t="shared" si="110"/>
        <v>4331332.07</v>
      </c>
      <c r="V60" s="181">
        <f t="shared" si="73"/>
        <v>0.99131483219203176</v>
      </c>
      <c r="W60" s="140">
        <f t="shared" si="106"/>
        <v>5653004.5499999998</v>
      </c>
      <c r="X60" s="140">
        <f t="shared" si="107"/>
        <v>1321672.4799999995</v>
      </c>
      <c r="Y60" s="111">
        <f t="shared" si="29"/>
        <v>0</v>
      </c>
      <c r="Z60" s="108">
        <v>5653464.75</v>
      </c>
      <c r="AA60" s="61">
        <v>4331684.67</v>
      </c>
      <c r="AB60" s="61">
        <v>5653464.75</v>
      </c>
      <c r="AC60" s="61">
        <v>1321780.08</v>
      </c>
      <c r="AD60" s="109">
        <v>0</v>
      </c>
      <c r="AE60" s="108">
        <v>460.20000000000005</v>
      </c>
      <c r="AF60" s="61">
        <v>352.6</v>
      </c>
      <c r="AG60" s="61">
        <v>460.20000000000005</v>
      </c>
      <c r="AH60" s="61">
        <v>107.6</v>
      </c>
      <c r="AI60" s="109">
        <v>0</v>
      </c>
      <c r="AJ60" s="122"/>
      <c r="AK60" s="111"/>
    </row>
    <row r="61" spans="1:37" ht="33" outlineLevel="1">
      <c r="A61" s="239" t="s">
        <v>276</v>
      </c>
      <c r="B61" s="201" t="s">
        <v>176</v>
      </c>
      <c r="C61" s="202" t="s">
        <v>89</v>
      </c>
      <c r="D61" s="202" t="s">
        <v>10</v>
      </c>
      <c r="E61" s="178">
        <v>1</v>
      </c>
      <c r="F61" s="179">
        <v>8</v>
      </c>
      <c r="G61" s="61">
        <v>8537232</v>
      </c>
      <c r="H61" s="103">
        <v>4268616</v>
      </c>
      <c r="I61" s="200">
        <v>0.79010000000000002</v>
      </c>
      <c r="J61" s="220">
        <f t="shared" si="108"/>
        <v>4774383.1037010001</v>
      </c>
      <c r="K61" s="122">
        <v>6042758.0099999998</v>
      </c>
      <c r="L61" s="61">
        <v>2589315.02</v>
      </c>
      <c r="M61" s="181">
        <f t="shared" si="71"/>
        <v>0.60659357037503492</v>
      </c>
      <c r="N61" s="61">
        <f t="shared" si="33"/>
        <v>2589315.0199999986</v>
      </c>
      <c r="O61" s="61">
        <f t="shared" si="34"/>
        <v>0</v>
      </c>
      <c r="P61" s="103">
        <v>3453442.9900000012</v>
      </c>
      <c r="Q61" s="188">
        <f t="shared" si="109"/>
        <v>4771640.7693140004</v>
      </c>
      <c r="R61" s="249">
        <f t="shared" si="4"/>
        <v>1.1178425909742176</v>
      </c>
      <c r="S61" s="145">
        <f t="shared" si="15"/>
        <v>6039287.1400000006</v>
      </c>
      <c r="T61" s="181">
        <f t="shared" si="72"/>
        <v>0.7074057657095415</v>
      </c>
      <c r="U61" s="61">
        <f t="shared" si="110"/>
        <v>2587926.67</v>
      </c>
      <c r="V61" s="181">
        <f t="shared" si="73"/>
        <v>0.60626832444052126</v>
      </c>
      <c r="W61" s="140">
        <f t="shared" si="106"/>
        <v>2587926.6700000004</v>
      </c>
      <c r="X61" s="140">
        <f t="shared" si="107"/>
        <v>0</v>
      </c>
      <c r="Y61" s="111">
        <f t="shared" si="29"/>
        <v>3451360.47</v>
      </c>
      <c r="Z61" s="108">
        <v>6039287.1400000006</v>
      </c>
      <c r="AA61" s="61">
        <v>2587926.67</v>
      </c>
      <c r="AB61" s="61">
        <v>2587926.67</v>
      </c>
      <c r="AC61" s="61">
        <v>0</v>
      </c>
      <c r="AD61" s="109">
        <v>3451360.47</v>
      </c>
      <c r="AE61" s="108">
        <v>0</v>
      </c>
      <c r="AF61" s="61">
        <v>0</v>
      </c>
      <c r="AG61" s="61">
        <v>0</v>
      </c>
      <c r="AH61" s="61">
        <v>0</v>
      </c>
      <c r="AI61" s="109">
        <v>0</v>
      </c>
      <c r="AJ61" s="122"/>
      <c r="AK61" s="111"/>
    </row>
    <row r="62" spans="1:37" ht="66" outlineLevel="1">
      <c r="A62" s="234" t="s">
        <v>177</v>
      </c>
      <c r="B62" s="183" t="s">
        <v>178</v>
      </c>
      <c r="C62" s="182" t="s">
        <v>89</v>
      </c>
      <c r="D62" s="182" t="s">
        <v>10</v>
      </c>
      <c r="E62" s="178">
        <v>1</v>
      </c>
      <c r="F62" s="179">
        <v>8</v>
      </c>
      <c r="G62" s="61">
        <v>25806681</v>
      </c>
      <c r="H62" s="103">
        <v>12817550.999999998</v>
      </c>
      <c r="I62" s="200">
        <v>0.79010000000000002</v>
      </c>
      <c r="J62" s="220">
        <f t="shared" si="108"/>
        <v>25918952.574423999</v>
      </c>
      <c r="K62" s="122">
        <v>32804648.239999998</v>
      </c>
      <c r="L62" s="61">
        <v>17313437.32</v>
      </c>
      <c r="M62" s="181">
        <f t="shared" si="71"/>
        <v>1.3507601662751334</v>
      </c>
      <c r="N62" s="61">
        <f t="shared" si="33"/>
        <v>20368748.619999997</v>
      </c>
      <c r="O62" s="61">
        <f t="shared" si="34"/>
        <v>3055311.299999997</v>
      </c>
      <c r="P62" s="103">
        <v>12435899.619999999</v>
      </c>
      <c r="Q62" s="188">
        <f t="shared" si="109"/>
        <v>20184116.120336998</v>
      </c>
      <c r="R62" s="249">
        <f t="shared" si="4"/>
        <v>1.5747248534713847</v>
      </c>
      <c r="S62" s="145">
        <f t="shared" si="15"/>
        <v>25546280.369999997</v>
      </c>
      <c r="T62" s="181">
        <f t="shared" si="72"/>
        <v>0.98990956527885154</v>
      </c>
      <c r="U62" s="61">
        <f t="shared" si="110"/>
        <v>12694478.470000003</v>
      </c>
      <c r="V62" s="181">
        <f t="shared" si="73"/>
        <v>0.99039812441549901</v>
      </c>
      <c r="W62" s="140">
        <f t="shared" si="106"/>
        <v>14934676.389999997</v>
      </c>
      <c r="X62" s="140">
        <f t="shared" si="107"/>
        <v>2240197.9199999943</v>
      </c>
      <c r="Y62" s="111">
        <f t="shared" si="29"/>
        <v>10611603.98</v>
      </c>
      <c r="Z62" s="108">
        <v>32536458.719999999</v>
      </c>
      <c r="AA62" s="61">
        <v>17180807.600000001</v>
      </c>
      <c r="AB62" s="61">
        <v>20212713.66</v>
      </c>
      <c r="AC62" s="61">
        <v>3031906.06</v>
      </c>
      <c r="AD62" s="109">
        <v>12323745.060000001</v>
      </c>
      <c r="AE62" s="108">
        <v>6990178.3499999996</v>
      </c>
      <c r="AF62" s="61">
        <v>4486329.13</v>
      </c>
      <c r="AG62" s="61">
        <v>5278037.2699999996</v>
      </c>
      <c r="AH62" s="61">
        <v>791708.1399999999</v>
      </c>
      <c r="AI62" s="109">
        <v>1712141.0799999998</v>
      </c>
      <c r="AJ62" s="122"/>
      <c r="AK62" s="111"/>
    </row>
    <row r="63" spans="1:37" ht="99" outlineLevel="1">
      <c r="A63" s="236" t="s">
        <v>179</v>
      </c>
      <c r="B63" s="176" t="s">
        <v>180</v>
      </c>
      <c r="C63" s="177" t="s">
        <v>283</v>
      </c>
      <c r="D63" s="177" t="s">
        <v>9</v>
      </c>
      <c r="E63" s="178"/>
      <c r="F63" s="179"/>
      <c r="G63" s="61">
        <f>SUM(G64:G66)</f>
        <v>10093438</v>
      </c>
      <c r="H63" s="61">
        <f>SUM(H64:H66)</f>
        <v>8579421</v>
      </c>
      <c r="I63" s="200">
        <v>0.79010000000000002</v>
      </c>
      <c r="J63" s="110">
        <f>SUM(J64:J66)</f>
        <v>8021028.9185110014</v>
      </c>
      <c r="K63" s="145">
        <f>SUM(K64:K66)</f>
        <v>10151916.109999999</v>
      </c>
      <c r="L63" s="65">
        <f>SUM(L64:L66)</f>
        <v>8629128.75</v>
      </c>
      <c r="M63" s="181">
        <f t="shared" si="71"/>
        <v>1.0057938350385183</v>
      </c>
      <c r="N63" s="61">
        <f>SUM(N64:N66)</f>
        <v>10151916.109999999</v>
      </c>
      <c r="O63" s="61">
        <f>SUM(O64:O66)</f>
        <v>1522787.360000001</v>
      </c>
      <c r="P63" s="102">
        <f t="shared" ref="P63" si="111">SUM(P64:P66)</f>
        <v>0</v>
      </c>
      <c r="Q63" s="188">
        <f>SUM(Q64:Q66)</f>
        <v>7884323.4146070015</v>
      </c>
      <c r="R63" s="249">
        <f t="shared" si="4"/>
        <v>0.91898082803105263</v>
      </c>
      <c r="S63" s="145">
        <f>SUM(S64:S66)</f>
        <v>9978893.0700000003</v>
      </c>
      <c r="T63" s="181">
        <f t="shared" si="72"/>
        <v>0.98865154469666339</v>
      </c>
      <c r="U63" s="65">
        <f>SUM(U64:U66)</f>
        <v>8482059.0700000003</v>
      </c>
      <c r="V63" s="181">
        <f t="shared" si="73"/>
        <v>0.98865168989842089</v>
      </c>
      <c r="W63" s="65">
        <f>SUM(W64:W66)</f>
        <v>9978893.0700000003</v>
      </c>
      <c r="X63" s="65">
        <f t="shared" ref="X63:Y63" si="112">SUM(X64:X66)</f>
        <v>1496834.0000000005</v>
      </c>
      <c r="Y63" s="111">
        <f t="shared" si="112"/>
        <v>0</v>
      </c>
      <c r="Z63" s="65">
        <f t="shared" ref="Z63" si="113">SUM(Z64:Z66)</f>
        <v>10006694.59</v>
      </c>
      <c r="AA63" s="65">
        <f t="shared" ref="AA63" si="114">SUM(AA64:AA66)</f>
        <v>8505690.3599999994</v>
      </c>
      <c r="AB63" s="65">
        <f t="shared" ref="AB63" si="115">SUM(AB64:AB66)</f>
        <v>10006694.59</v>
      </c>
      <c r="AC63" s="65">
        <f t="shared" ref="AC63" si="116">SUM(AC64:AC66)</f>
        <v>1501004.2299999997</v>
      </c>
      <c r="AD63" s="111">
        <f t="shared" ref="AD63" si="117">SUM(AD64:AD66)</f>
        <v>0</v>
      </c>
      <c r="AE63" s="65">
        <f t="shared" ref="AE63" si="118">SUM(AE64:AE66)</f>
        <v>27801.52</v>
      </c>
      <c r="AF63" s="65">
        <f t="shared" ref="AF63" si="119">SUM(AF64:AF66)</f>
        <v>23631.29</v>
      </c>
      <c r="AG63" s="65">
        <f t="shared" ref="AG63" si="120">SUM(AG64:AG66)</f>
        <v>27801.52</v>
      </c>
      <c r="AH63" s="65">
        <f t="shared" ref="AH63" si="121">SUM(AH64:AH66)</f>
        <v>4170.2299999999996</v>
      </c>
      <c r="AI63" s="111">
        <f t="shared" ref="AI63" si="122">SUM(AI64:AI66)</f>
        <v>0</v>
      </c>
      <c r="AJ63" s="122"/>
      <c r="AK63" s="111"/>
    </row>
    <row r="64" spans="1:37" s="32" customFormat="1" ht="99" outlineLevel="1">
      <c r="A64" s="234" t="s">
        <v>181</v>
      </c>
      <c r="B64" s="183" t="s">
        <v>182</v>
      </c>
      <c r="C64" s="182" t="s">
        <v>89</v>
      </c>
      <c r="D64" s="182" t="s">
        <v>9</v>
      </c>
      <c r="E64" s="178">
        <v>1</v>
      </c>
      <c r="F64" s="179" t="s">
        <v>183</v>
      </c>
      <c r="G64" s="61">
        <v>870026</v>
      </c>
      <c r="H64" s="102">
        <v>739521</v>
      </c>
      <c r="I64" s="200">
        <v>0.79010000000000002</v>
      </c>
      <c r="J64" s="220">
        <f>K64*I64</f>
        <v>769944.31987100001</v>
      </c>
      <c r="K64" s="120">
        <v>974489.71</v>
      </c>
      <c r="L64" s="61">
        <v>828316.26</v>
      </c>
      <c r="M64" s="181">
        <f t="shared" si="71"/>
        <v>1.1200713164332048</v>
      </c>
      <c r="N64" s="61">
        <f t="shared" si="33"/>
        <v>974489.71</v>
      </c>
      <c r="O64" s="61">
        <f t="shared" si="34"/>
        <v>146173.44999999995</v>
      </c>
      <c r="P64" s="102">
        <v>0</v>
      </c>
      <c r="Q64" s="163">
        <f>S64*I64</f>
        <v>683037.436292</v>
      </c>
      <c r="R64" s="249">
        <f t="shared" si="4"/>
        <v>0.92362142020578186</v>
      </c>
      <c r="S64" s="145">
        <f t="shared" si="15"/>
        <v>864494.91999999993</v>
      </c>
      <c r="T64" s="181">
        <f t="shared" si="72"/>
        <v>0.99364262677207338</v>
      </c>
      <c r="U64" s="61">
        <f>AA64-AF64</f>
        <v>734820.69</v>
      </c>
      <c r="V64" s="181">
        <f t="shared" si="73"/>
        <v>0.99364411558292454</v>
      </c>
      <c r="W64" s="140">
        <f t="shared" ref="W64:W72" si="123">S64-Y64</f>
        <v>864494.91999999993</v>
      </c>
      <c r="X64" s="140">
        <f t="shared" ref="X64:X72" si="124">S64-U64-Y64</f>
        <v>129674.22999999998</v>
      </c>
      <c r="Y64" s="109">
        <f t="shared" si="29"/>
        <v>0</v>
      </c>
      <c r="Z64" s="108">
        <v>892296.44</v>
      </c>
      <c r="AA64" s="61">
        <v>758451.98</v>
      </c>
      <c r="AB64" s="61">
        <v>892296.44</v>
      </c>
      <c r="AC64" s="61">
        <v>133844.46</v>
      </c>
      <c r="AD64" s="109">
        <v>0</v>
      </c>
      <c r="AE64" s="108">
        <v>27801.52</v>
      </c>
      <c r="AF64" s="61">
        <v>23631.29</v>
      </c>
      <c r="AG64" s="61">
        <v>27801.52</v>
      </c>
      <c r="AH64" s="61">
        <v>4170.2299999999996</v>
      </c>
      <c r="AI64" s="109">
        <v>0</v>
      </c>
      <c r="AJ64" s="120"/>
      <c r="AK64" s="109"/>
    </row>
    <row r="65" spans="1:37" s="56" customFormat="1" ht="115.5" outlineLevel="1">
      <c r="A65" s="234" t="s">
        <v>184</v>
      </c>
      <c r="B65" s="183" t="s">
        <v>185</v>
      </c>
      <c r="C65" s="182" t="s">
        <v>89</v>
      </c>
      <c r="D65" s="182" t="s">
        <v>9</v>
      </c>
      <c r="E65" s="178">
        <v>1</v>
      </c>
      <c r="F65" s="179" t="s">
        <v>183</v>
      </c>
      <c r="G65" s="61">
        <v>9223412</v>
      </c>
      <c r="H65" s="61">
        <v>7839900</v>
      </c>
      <c r="I65" s="200">
        <v>0.79010000000000002</v>
      </c>
      <c r="J65" s="220">
        <f>K65*I65</f>
        <v>6909976.9379200013</v>
      </c>
      <c r="K65" s="122">
        <f>9177426.4-K66</f>
        <v>8745699.2000000011</v>
      </c>
      <c r="L65" s="61">
        <f>7800812.49-L66</f>
        <v>7369085.29</v>
      </c>
      <c r="M65" s="181">
        <f t="shared" si="71"/>
        <v>0.93994633732573118</v>
      </c>
      <c r="N65" s="61">
        <f>K65-P65</f>
        <v>8745699.2000000011</v>
      </c>
      <c r="O65" s="61">
        <f>N65-L65</f>
        <v>1376613.9100000011</v>
      </c>
      <c r="P65" s="103">
        <v>0</v>
      </c>
      <c r="Q65" s="163">
        <f>S65*I65</f>
        <v>6862307.455372001</v>
      </c>
      <c r="R65" s="249">
        <f t="shared" si="4"/>
        <v>0.87530548289799626</v>
      </c>
      <c r="S65" s="145">
        <f>Z65-AE65</f>
        <v>8685365.7200000007</v>
      </c>
      <c r="T65" s="181">
        <f t="shared" si="72"/>
        <v>0.94166515818658003</v>
      </c>
      <c r="U65" s="61">
        <f>AA65-AF65</f>
        <v>7318205.9500000002</v>
      </c>
      <c r="V65" s="181">
        <f t="shared" si="73"/>
        <v>0.93345654281304613</v>
      </c>
      <c r="W65" s="140">
        <f>S65-Y65</f>
        <v>8685365.7200000007</v>
      </c>
      <c r="X65" s="140">
        <f>S65-U65-Y65</f>
        <v>1367159.7700000005</v>
      </c>
      <c r="Y65" s="111">
        <f t="shared" si="29"/>
        <v>0</v>
      </c>
      <c r="Z65" s="108">
        <f>AB65+AD65</f>
        <v>8685365.7200000007</v>
      </c>
      <c r="AA65" s="61">
        <f>7747238.38-AA66</f>
        <v>7318205.9500000002</v>
      </c>
      <c r="AB65" s="61">
        <f>AA65+AC65</f>
        <v>8685365.7200000007</v>
      </c>
      <c r="AC65" s="61">
        <v>1367159.7699999998</v>
      </c>
      <c r="AD65" s="109">
        <v>0</v>
      </c>
      <c r="AE65" s="108">
        <v>0</v>
      </c>
      <c r="AF65" s="61">
        <v>0</v>
      </c>
      <c r="AG65" s="61">
        <v>0</v>
      </c>
      <c r="AH65" s="61">
        <v>0</v>
      </c>
      <c r="AI65" s="109">
        <v>0</v>
      </c>
      <c r="AJ65" s="122"/>
      <c r="AK65" s="111"/>
    </row>
    <row r="66" spans="1:37" s="56" customFormat="1" ht="115.5" outlineLevel="1">
      <c r="A66" s="234" t="s">
        <v>184</v>
      </c>
      <c r="B66" s="183" t="s">
        <v>185</v>
      </c>
      <c r="C66" s="182" t="s">
        <v>284</v>
      </c>
      <c r="D66" s="182" t="s">
        <v>9</v>
      </c>
      <c r="E66" s="178" t="s">
        <v>32</v>
      </c>
      <c r="F66" s="179" t="s">
        <v>183</v>
      </c>
      <c r="G66" s="61" t="s">
        <v>308</v>
      </c>
      <c r="H66" s="103" t="s">
        <v>308</v>
      </c>
      <c r="I66" s="200">
        <v>0.79010000000000002</v>
      </c>
      <c r="J66" s="220">
        <f>K66*I66</f>
        <v>341107.66072000004</v>
      </c>
      <c r="K66" s="122">
        <v>431727.2</v>
      </c>
      <c r="L66" s="61">
        <v>431727.20000000007</v>
      </c>
      <c r="M66" s="181" t="s">
        <v>308</v>
      </c>
      <c r="N66" s="61">
        <f>K66-P66</f>
        <v>431727.2</v>
      </c>
      <c r="O66" s="61">
        <f>N66-L66</f>
        <v>0</v>
      </c>
      <c r="P66" s="103">
        <v>0</v>
      </c>
      <c r="Q66" s="163">
        <f>S66*I66</f>
        <v>338978.52294300002</v>
      </c>
      <c r="R66" s="249" t="s">
        <v>308</v>
      </c>
      <c r="S66" s="145">
        <f>Z66-AE66</f>
        <v>429032.43</v>
      </c>
      <c r="T66" s="181" t="s">
        <v>308</v>
      </c>
      <c r="U66" s="61">
        <f t="shared" ref="U66:U72" si="125">AA66-AF66</f>
        <v>429032.43</v>
      </c>
      <c r="V66" s="181" t="s">
        <v>308</v>
      </c>
      <c r="W66" s="140">
        <f>S66-Y66</f>
        <v>429032.43</v>
      </c>
      <c r="X66" s="140">
        <f t="shared" ref="X66" si="126">S66-U66-Y66</f>
        <v>0</v>
      </c>
      <c r="Y66" s="111">
        <f t="shared" ref="Y66" si="127">AD66-AI66</f>
        <v>0</v>
      </c>
      <c r="Z66" s="108">
        <v>429032.43</v>
      </c>
      <c r="AA66" s="61">
        <v>429032.43</v>
      </c>
      <c r="AB66" s="61">
        <v>429032.43</v>
      </c>
      <c r="AC66" s="61">
        <v>0</v>
      </c>
      <c r="AD66" s="109">
        <v>0</v>
      </c>
      <c r="AE66" s="108">
        <v>0</v>
      </c>
      <c r="AF66" s="61">
        <v>0</v>
      </c>
      <c r="AG66" s="61">
        <v>0</v>
      </c>
      <c r="AH66" s="61">
        <v>0</v>
      </c>
      <c r="AI66" s="109">
        <v>0</v>
      </c>
      <c r="AJ66" s="122"/>
      <c r="AK66" s="111"/>
    </row>
    <row r="67" spans="1:37" ht="49.5" outlineLevel="1">
      <c r="A67" s="234" t="s">
        <v>186</v>
      </c>
      <c r="B67" s="183" t="s">
        <v>187</v>
      </c>
      <c r="C67" s="182" t="s">
        <v>89</v>
      </c>
      <c r="D67" s="182" t="s">
        <v>9</v>
      </c>
      <c r="E67" s="178">
        <v>1</v>
      </c>
      <c r="F67" s="179" t="s">
        <v>183</v>
      </c>
      <c r="G67" s="61">
        <v>3449855</v>
      </c>
      <c r="H67" s="103">
        <v>2932167</v>
      </c>
      <c r="I67" s="200">
        <v>0.79010000000000002</v>
      </c>
      <c r="J67" s="220">
        <f t="shared" ref="J67:J68" si="128">K67*I67</f>
        <v>2614366.7017090004</v>
      </c>
      <c r="K67" s="122">
        <v>3308906.0900000003</v>
      </c>
      <c r="L67" s="61">
        <v>2812570.1500000004</v>
      </c>
      <c r="M67" s="181">
        <f t="shared" si="71"/>
        <v>0.9592121287771127</v>
      </c>
      <c r="N67" s="61">
        <f t="shared" si="33"/>
        <v>3308906.0900000003</v>
      </c>
      <c r="O67" s="61">
        <f t="shared" si="34"/>
        <v>496335.93999999994</v>
      </c>
      <c r="P67" s="103">
        <v>0</v>
      </c>
      <c r="Q67" s="163">
        <f t="shared" ref="Q67:Q72" si="129">S67*I67</f>
        <v>2600418.4422300006</v>
      </c>
      <c r="R67" s="249">
        <f t="shared" si="4"/>
        <v>0.88685891432172881</v>
      </c>
      <c r="S67" s="145">
        <f t="shared" si="15"/>
        <v>3291252.3000000007</v>
      </c>
      <c r="T67" s="181">
        <f t="shared" si="72"/>
        <v>0.9540262706693472</v>
      </c>
      <c r="U67" s="61">
        <f t="shared" si="125"/>
        <v>2797564.5100000007</v>
      </c>
      <c r="V67" s="181">
        <f t="shared" si="73"/>
        <v>0.95409453486107743</v>
      </c>
      <c r="W67" s="140">
        <f t="shared" si="123"/>
        <v>3291252.3000000007</v>
      </c>
      <c r="X67" s="140">
        <f t="shared" si="124"/>
        <v>493687.79000000004</v>
      </c>
      <c r="Y67" s="111">
        <f t="shared" si="29"/>
        <v>0</v>
      </c>
      <c r="Z67" s="108">
        <v>3291252.3000000007</v>
      </c>
      <c r="AA67" s="61">
        <v>2797564.5100000007</v>
      </c>
      <c r="AB67" s="61">
        <v>3291252.3000000007</v>
      </c>
      <c r="AC67" s="61">
        <v>493687.79000000015</v>
      </c>
      <c r="AD67" s="109">
        <v>0</v>
      </c>
      <c r="AE67" s="108">
        <v>0</v>
      </c>
      <c r="AF67" s="61">
        <v>0</v>
      </c>
      <c r="AG67" s="61">
        <v>0</v>
      </c>
      <c r="AH67" s="61">
        <v>0</v>
      </c>
      <c r="AI67" s="109">
        <v>0</v>
      </c>
      <c r="AJ67" s="122"/>
      <c r="AK67" s="111"/>
    </row>
    <row r="68" spans="1:37" s="28" customFormat="1" ht="82.5" outlineLevel="1">
      <c r="A68" s="234" t="s">
        <v>277</v>
      </c>
      <c r="B68" s="183" t="s">
        <v>188</v>
      </c>
      <c r="C68" s="182" t="s">
        <v>89</v>
      </c>
      <c r="D68" s="182" t="s">
        <v>9</v>
      </c>
      <c r="E68" s="178">
        <v>1</v>
      </c>
      <c r="F68" s="179" t="s">
        <v>183</v>
      </c>
      <c r="G68" s="65">
        <v>86423479</v>
      </c>
      <c r="H68" s="103">
        <v>69575067</v>
      </c>
      <c r="I68" s="200">
        <v>0.79010000000000002</v>
      </c>
      <c r="J68" s="220">
        <f t="shared" si="128"/>
        <v>89288413.728558034</v>
      </c>
      <c r="K68" s="122">
        <v>113009003.58000004</v>
      </c>
      <c r="L68" s="61">
        <v>91790002.659999982</v>
      </c>
      <c r="M68" s="181">
        <f t="shared" si="71"/>
        <v>1.3192944918040823</v>
      </c>
      <c r="N68" s="61">
        <f t="shared" si="33"/>
        <v>113009003.58000004</v>
      </c>
      <c r="O68" s="61">
        <f t="shared" si="34"/>
        <v>21219000.920000061</v>
      </c>
      <c r="P68" s="103">
        <v>0</v>
      </c>
      <c r="Q68" s="163">
        <f t="shared" si="129"/>
        <v>88744663.234593034</v>
      </c>
      <c r="R68" s="249">
        <f t="shared" si="4"/>
        <v>1.2755239349549319</v>
      </c>
      <c r="S68" s="145">
        <f t="shared" si="15"/>
        <v>112320798.93000004</v>
      </c>
      <c r="T68" s="181">
        <f t="shared" si="72"/>
        <v>1.2996560683468903</v>
      </c>
      <c r="U68" s="61">
        <f t="shared" si="125"/>
        <v>90463125.050000042</v>
      </c>
      <c r="V68" s="181">
        <f t="shared" si="73"/>
        <v>1.3002233264108829</v>
      </c>
      <c r="W68" s="140">
        <f t="shared" si="123"/>
        <v>112320798.93000004</v>
      </c>
      <c r="X68" s="140">
        <f t="shared" si="124"/>
        <v>21857673.879999995</v>
      </c>
      <c r="Y68" s="111">
        <f t="shared" si="29"/>
        <v>0</v>
      </c>
      <c r="Z68" s="110">
        <v>112321620.30000004</v>
      </c>
      <c r="AA68" s="65">
        <v>90463737.400000036</v>
      </c>
      <c r="AB68" s="65">
        <v>112321620.30000004</v>
      </c>
      <c r="AC68" s="65">
        <v>21857882.899999999</v>
      </c>
      <c r="AD68" s="111">
        <v>0</v>
      </c>
      <c r="AE68" s="110">
        <v>821.37</v>
      </c>
      <c r="AF68" s="65">
        <v>612.35</v>
      </c>
      <c r="AG68" s="65">
        <v>821.37</v>
      </c>
      <c r="AH68" s="65">
        <v>209.02</v>
      </c>
      <c r="AI68" s="111">
        <v>0</v>
      </c>
      <c r="AJ68" s="122"/>
      <c r="AK68" s="111"/>
    </row>
    <row r="69" spans="1:37" s="28" customFormat="1" ht="66" outlineLevel="1">
      <c r="A69" s="234" t="s">
        <v>189</v>
      </c>
      <c r="B69" s="183" t="s">
        <v>190</v>
      </c>
      <c r="C69" s="182" t="s">
        <v>89</v>
      </c>
      <c r="D69" s="182" t="s">
        <v>9</v>
      </c>
      <c r="E69" s="178"/>
      <c r="F69" s="179"/>
      <c r="G69" s="65">
        <v>0</v>
      </c>
      <c r="H69" s="103">
        <v>0</v>
      </c>
      <c r="I69" s="200">
        <v>0.79010000000000002</v>
      </c>
      <c r="J69" s="220">
        <v>0</v>
      </c>
      <c r="K69" s="122">
        <v>0</v>
      </c>
      <c r="L69" s="61">
        <f t="shared" si="16"/>
        <v>0</v>
      </c>
      <c r="M69" s="181">
        <v>0</v>
      </c>
      <c r="N69" s="61">
        <f t="shared" si="33"/>
        <v>0</v>
      </c>
      <c r="O69" s="61">
        <f t="shared" si="34"/>
        <v>0</v>
      </c>
      <c r="P69" s="103">
        <v>0</v>
      </c>
      <c r="Q69" s="163">
        <f t="shared" si="129"/>
        <v>0</v>
      </c>
      <c r="R69" s="249">
        <v>0</v>
      </c>
      <c r="S69" s="145">
        <f t="shared" si="15"/>
        <v>0</v>
      </c>
      <c r="T69" s="181">
        <v>0</v>
      </c>
      <c r="U69" s="61">
        <f t="shared" si="125"/>
        <v>0</v>
      </c>
      <c r="V69" s="181">
        <v>0</v>
      </c>
      <c r="W69" s="140">
        <f t="shared" si="123"/>
        <v>0</v>
      </c>
      <c r="X69" s="140">
        <f t="shared" si="124"/>
        <v>0</v>
      </c>
      <c r="Y69" s="111">
        <f t="shared" si="29"/>
        <v>0</v>
      </c>
      <c r="Z69" s="110">
        <v>0</v>
      </c>
      <c r="AA69" s="65">
        <v>0</v>
      </c>
      <c r="AB69" s="65">
        <v>0</v>
      </c>
      <c r="AC69" s="65">
        <v>0</v>
      </c>
      <c r="AD69" s="111">
        <v>0</v>
      </c>
      <c r="AE69" s="110">
        <v>0</v>
      </c>
      <c r="AF69" s="65">
        <v>0</v>
      </c>
      <c r="AG69" s="65">
        <v>0</v>
      </c>
      <c r="AH69" s="65">
        <v>0</v>
      </c>
      <c r="AI69" s="111">
        <v>0</v>
      </c>
      <c r="AJ69" s="122"/>
      <c r="AK69" s="111"/>
    </row>
    <row r="70" spans="1:37" ht="99" outlineLevel="1">
      <c r="A70" s="234" t="s">
        <v>191</v>
      </c>
      <c r="B70" s="183" t="s">
        <v>192</v>
      </c>
      <c r="C70" s="182" t="s">
        <v>89</v>
      </c>
      <c r="D70" s="182" t="s">
        <v>9</v>
      </c>
      <c r="E70" s="178">
        <v>1</v>
      </c>
      <c r="F70" s="179" t="s">
        <v>183</v>
      </c>
      <c r="G70" s="61">
        <v>1231056</v>
      </c>
      <c r="H70" s="103">
        <v>1046397</v>
      </c>
      <c r="I70" s="200">
        <v>0.79010000000000002</v>
      </c>
      <c r="J70" s="220">
        <f>K70*I70</f>
        <v>961214.73025100026</v>
      </c>
      <c r="K70" s="122">
        <v>1216573.5100000002</v>
      </c>
      <c r="L70" s="61">
        <v>1034087.4700000007</v>
      </c>
      <c r="M70" s="181">
        <f>L70/H70</f>
        <v>0.98823627170184991</v>
      </c>
      <c r="N70" s="61">
        <f t="shared" si="33"/>
        <v>1216573.5100000002</v>
      </c>
      <c r="O70" s="61">
        <f t="shared" si="34"/>
        <v>182486.03999999957</v>
      </c>
      <c r="P70" s="103">
        <v>0</v>
      </c>
      <c r="Q70" s="163">
        <f t="shared" si="129"/>
        <v>963214.86050000042</v>
      </c>
      <c r="R70" s="249">
        <f t="shared" si="4"/>
        <v>0.92050613725001162</v>
      </c>
      <c r="S70" s="145">
        <f t="shared" si="15"/>
        <v>1219105.0000000005</v>
      </c>
      <c r="T70" s="181">
        <f>S70/G70</f>
        <v>0.99029207444665435</v>
      </c>
      <c r="U70" s="61">
        <f t="shared" si="125"/>
        <v>1036239.2400000002</v>
      </c>
      <c r="V70" s="181">
        <f>U70/H70</f>
        <v>0.99029263271970414</v>
      </c>
      <c r="W70" s="140">
        <f t="shared" si="123"/>
        <v>1219105.0000000005</v>
      </c>
      <c r="X70" s="140">
        <f t="shared" si="124"/>
        <v>182865.76000000024</v>
      </c>
      <c r="Y70" s="111">
        <f t="shared" si="29"/>
        <v>0</v>
      </c>
      <c r="Z70" s="108">
        <v>1219105.0000000005</v>
      </c>
      <c r="AA70" s="61">
        <v>1036239.2400000002</v>
      </c>
      <c r="AB70" s="61">
        <v>1219105.0000000005</v>
      </c>
      <c r="AC70" s="61">
        <v>182865.76000000013</v>
      </c>
      <c r="AD70" s="109">
        <v>0</v>
      </c>
      <c r="AE70" s="108">
        <v>0</v>
      </c>
      <c r="AF70" s="61">
        <v>0</v>
      </c>
      <c r="AG70" s="61">
        <v>0</v>
      </c>
      <c r="AH70" s="61">
        <v>0</v>
      </c>
      <c r="AI70" s="109">
        <v>0</v>
      </c>
      <c r="AJ70" s="122"/>
      <c r="AK70" s="111"/>
    </row>
    <row r="71" spans="1:37" ht="132" outlineLevel="1">
      <c r="A71" s="234" t="s">
        <v>193</v>
      </c>
      <c r="B71" s="183" t="s">
        <v>194</v>
      </c>
      <c r="C71" s="182" t="s">
        <v>89</v>
      </c>
      <c r="D71" s="182" t="s">
        <v>9</v>
      </c>
      <c r="E71" s="178"/>
      <c r="F71" s="179"/>
      <c r="G71" s="61">
        <v>0</v>
      </c>
      <c r="H71" s="103">
        <v>0</v>
      </c>
      <c r="I71" s="200">
        <v>0.79010000000000002</v>
      </c>
      <c r="J71" s="220">
        <v>0</v>
      </c>
      <c r="K71" s="122">
        <v>0</v>
      </c>
      <c r="L71" s="61">
        <f t="shared" si="16"/>
        <v>0</v>
      </c>
      <c r="M71" s="181">
        <v>0</v>
      </c>
      <c r="N71" s="61">
        <f t="shared" si="33"/>
        <v>0</v>
      </c>
      <c r="O71" s="61">
        <f t="shared" si="34"/>
        <v>0</v>
      </c>
      <c r="P71" s="103">
        <v>0</v>
      </c>
      <c r="Q71" s="163">
        <f t="shared" si="129"/>
        <v>0</v>
      </c>
      <c r="R71" s="249">
        <v>0</v>
      </c>
      <c r="S71" s="145">
        <f t="shared" si="15"/>
        <v>0</v>
      </c>
      <c r="T71" s="181">
        <v>0</v>
      </c>
      <c r="U71" s="61">
        <f t="shared" si="125"/>
        <v>0</v>
      </c>
      <c r="V71" s="181">
        <v>0</v>
      </c>
      <c r="W71" s="140">
        <f t="shared" si="123"/>
        <v>0</v>
      </c>
      <c r="X71" s="140">
        <f t="shared" si="124"/>
        <v>0</v>
      </c>
      <c r="Y71" s="111">
        <f t="shared" si="29"/>
        <v>0</v>
      </c>
      <c r="Z71" s="108">
        <v>0</v>
      </c>
      <c r="AA71" s="61">
        <v>0</v>
      </c>
      <c r="AB71" s="61">
        <v>0</v>
      </c>
      <c r="AC71" s="61">
        <v>0</v>
      </c>
      <c r="AD71" s="109">
        <v>0</v>
      </c>
      <c r="AE71" s="108">
        <v>0</v>
      </c>
      <c r="AF71" s="61">
        <v>0</v>
      </c>
      <c r="AG71" s="61">
        <v>0</v>
      </c>
      <c r="AH71" s="61">
        <v>0</v>
      </c>
      <c r="AI71" s="109">
        <v>0</v>
      </c>
      <c r="AJ71" s="122"/>
      <c r="AK71" s="111"/>
    </row>
    <row r="72" spans="1:37" ht="49.5" outlineLevel="1">
      <c r="A72" s="234" t="s">
        <v>195</v>
      </c>
      <c r="B72" s="183" t="s">
        <v>196</v>
      </c>
      <c r="C72" s="182" t="s">
        <v>89</v>
      </c>
      <c r="D72" s="182" t="s">
        <v>10</v>
      </c>
      <c r="E72" s="178" t="s">
        <v>95</v>
      </c>
      <c r="F72" s="179">
        <v>8</v>
      </c>
      <c r="G72" s="61">
        <v>348222</v>
      </c>
      <c r="H72" s="103">
        <v>151241</v>
      </c>
      <c r="I72" s="200">
        <v>0.79010000000000002</v>
      </c>
      <c r="J72" s="220">
        <f>K72*I72</f>
        <v>261023.448661</v>
      </c>
      <c r="K72" s="122">
        <v>330367.61</v>
      </c>
      <c r="L72" s="61">
        <v>143642.04999999999</v>
      </c>
      <c r="M72" s="181">
        <f>L72/H72</f>
        <v>0.94975601853994607</v>
      </c>
      <c r="N72" s="61">
        <f t="shared" si="33"/>
        <v>143642.04999999999</v>
      </c>
      <c r="O72" s="61">
        <f t="shared" si="34"/>
        <v>0</v>
      </c>
      <c r="P72" s="103">
        <v>186725.56</v>
      </c>
      <c r="Q72" s="163">
        <f t="shared" si="129"/>
        <v>259451.46570100001</v>
      </c>
      <c r="R72" s="249">
        <f t="shared" si="4"/>
        <v>1.7154836697786977</v>
      </c>
      <c r="S72" s="145">
        <f t="shared" si="15"/>
        <v>328378.01</v>
      </c>
      <c r="T72" s="181">
        <f>S72/G72</f>
        <v>0.94301339375455895</v>
      </c>
      <c r="U72" s="61">
        <f t="shared" si="125"/>
        <v>142812.84</v>
      </c>
      <c r="V72" s="181">
        <f>U72/H72</f>
        <v>0.94427331213096977</v>
      </c>
      <c r="W72" s="140">
        <f t="shared" si="123"/>
        <v>142812.84000000003</v>
      </c>
      <c r="X72" s="140">
        <f t="shared" si="124"/>
        <v>0</v>
      </c>
      <c r="Y72" s="111">
        <f t="shared" si="29"/>
        <v>185565.16999999998</v>
      </c>
      <c r="Z72" s="108">
        <v>328378.01</v>
      </c>
      <c r="AA72" s="61">
        <v>142812.84</v>
      </c>
      <c r="AB72" s="61">
        <v>142812.84</v>
      </c>
      <c r="AC72" s="61">
        <v>0</v>
      </c>
      <c r="AD72" s="109">
        <v>185565.16999999998</v>
      </c>
      <c r="AE72" s="108">
        <v>0</v>
      </c>
      <c r="AF72" s="61">
        <v>0</v>
      </c>
      <c r="AG72" s="61">
        <v>0</v>
      </c>
      <c r="AH72" s="61">
        <v>0</v>
      </c>
      <c r="AI72" s="109">
        <v>0</v>
      </c>
      <c r="AJ72" s="122"/>
      <c r="AK72" s="111"/>
    </row>
    <row r="73" spans="1:37" s="32" customFormat="1" ht="33">
      <c r="A73" s="232" t="s">
        <v>197</v>
      </c>
      <c r="B73" s="171" t="s">
        <v>198</v>
      </c>
      <c r="C73" s="172" t="s">
        <v>89</v>
      </c>
      <c r="D73" s="172" t="s">
        <v>11</v>
      </c>
      <c r="E73" s="173"/>
      <c r="F73" s="174"/>
      <c r="G73" s="60">
        <f t="shared" ref="G73:H73" si="130">SUM(G74:G76)</f>
        <v>14368523</v>
      </c>
      <c r="H73" s="104">
        <f t="shared" si="130"/>
        <v>12407934</v>
      </c>
      <c r="I73" s="155">
        <v>0.79010000000000002</v>
      </c>
      <c r="J73" s="112">
        <f>SUM(J74:J76)</f>
        <v>12676275.229313996</v>
      </c>
      <c r="K73" s="58">
        <f>SUM(K74:K76)</f>
        <v>16043887.139999995</v>
      </c>
      <c r="L73" s="124">
        <f>SUM(L74:L76)</f>
        <v>13804432.760000002</v>
      </c>
      <c r="M73" s="175">
        <f>L73/H73</f>
        <v>1.1125488546280147</v>
      </c>
      <c r="N73" s="60">
        <f>SUM(N74:N76)</f>
        <v>16043887.139999995</v>
      </c>
      <c r="O73" s="60">
        <f>SUM(O74:O76)</f>
        <v>2239454.3799999934</v>
      </c>
      <c r="P73" s="107">
        <f>SUM(P74:P76)</f>
        <v>0</v>
      </c>
      <c r="Q73" s="189">
        <f>SUM(Q74:Q76)</f>
        <v>12393945.161854001</v>
      </c>
      <c r="R73" s="175">
        <f t="shared" si="4"/>
        <v>0.99887258925248967</v>
      </c>
      <c r="S73" s="146">
        <f>SUM(S74:S76)</f>
        <v>15686552.540000001</v>
      </c>
      <c r="T73" s="175">
        <f>S73/G73</f>
        <v>1.0917303427777512</v>
      </c>
      <c r="U73" s="58">
        <f>SUM(U74:U76)</f>
        <v>13546567.890000001</v>
      </c>
      <c r="V73" s="175">
        <f>U73/H73</f>
        <v>1.0917665978880933</v>
      </c>
      <c r="W73" s="58">
        <f t="shared" ref="W73:AE73" si="131">SUM(W74:W76)</f>
        <v>15686552.540000001</v>
      </c>
      <c r="X73" s="58">
        <f t="shared" si="131"/>
        <v>2139984.6500000004</v>
      </c>
      <c r="Y73" s="113">
        <f t="shared" si="131"/>
        <v>0</v>
      </c>
      <c r="Z73" s="118">
        <f t="shared" si="131"/>
        <v>15686552.540000001</v>
      </c>
      <c r="AA73" s="60">
        <f t="shared" si="131"/>
        <v>13546567.890000001</v>
      </c>
      <c r="AB73" s="60">
        <f t="shared" si="131"/>
        <v>15686552.540000001</v>
      </c>
      <c r="AC73" s="60">
        <f t="shared" si="131"/>
        <v>2139984.65</v>
      </c>
      <c r="AD73" s="119">
        <f t="shared" si="131"/>
        <v>0</v>
      </c>
      <c r="AE73" s="118">
        <f t="shared" si="131"/>
        <v>0</v>
      </c>
      <c r="AF73" s="60">
        <f t="shared" ref="AF73" si="132">SUM(AF74:AF76)</f>
        <v>0</v>
      </c>
      <c r="AG73" s="60">
        <f>SUM(AG74:AG76)</f>
        <v>0</v>
      </c>
      <c r="AH73" s="60">
        <f>SUM(AH74:AH76)</f>
        <v>0</v>
      </c>
      <c r="AI73" s="119">
        <f>SUM(AI74:AI76)</f>
        <v>0</v>
      </c>
      <c r="AJ73" s="124"/>
      <c r="AK73" s="113"/>
    </row>
    <row r="74" spans="1:37" ht="66" outlineLevel="1">
      <c r="A74" s="234" t="s">
        <v>199</v>
      </c>
      <c r="B74" s="183" t="s">
        <v>200</v>
      </c>
      <c r="C74" s="182" t="s">
        <v>89</v>
      </c>
      <c r="D74" s="182" t="s">
        <v>11</v>
      </c>
      <c r="E74" s="178"/>
      <c r="F74" s="179"/>
      <c r="G74" s="61">
        <v>0</v>
      </c>
      <c r="H74" s="103">
        <v>0</v>
      </c>
      <c r="I74" s="200">
        <v>0.79010000000000002</v>
      </c>
      <c r="J74" s="110">
        <v>0</v>
      </c>
      <c r="K74" s="122">
        <v>0</v>
      </c>
      <c r="L74" s="61">
        <f t="shared" si="16"/>
        <v>0</v>
      </c>
      <c r="M74" s="181">
        <v>0</v>
      </c>
      <c r="N74" s="61">
        <f t="shared" si="33"/>
        <v>0</v>
      </c>
      <c r="O74" s="61">
        <f t="shared" si="34"/>
        <v>0</v>
      </c>
      <c r="P74" s="103">
        <v>0</v>
      </c>
      <c r="Q74" s="188">
        <v>0</v>
      </c>
      <c r="R74" s="249">
        <v>0</v>
      </c>
      <c r="S74" s="145">
        <f t="shared" si="15"/>
        <v>0</v>
      </c>
      <c r="T74" s="181">
        <v>0</v>
      </c>
      <c r="U74" s="61">
        <f>AA74-AF74</f>
        <v>0</v>
      </c>
      <c r="V74" s="181">
        <v>0</v>
      </c>
      <c r="W74" s="140">
        <f>S74-Y74</f>
        <v>0</v>
      </c>
      <c r="X74" s="140">
        <f>S74-U74-Y74</f>
        <v>0</v>
      </c>
      <c r="Y74" s="111">
        <f t="shared" si="29"/>
        <v>0</v>
      </c>
      <c r="Z74" s="108">
        <v>0</v>
      </c>
      <c r="AA74" s="61">
        <v>0</v>
      </c>
      <c r="AB74" s="61">
        <v>0</v>
      </c>
      <c r="AC74" s="61">
        <v>0</v>
      </c>
      <c r="AD74" s="109">
        <v>0</v>
      </c>
      <c r="AE74" s="108">
        <v>0</v>
      </c>
      <c r="AF74" s="61">
        <v>0</v>
      </c>
      <c r="AG74" s="61">
        <v>0</v>
      </c>
      <c r="AH74" s="61">
        <v>0</v>
      </c>
      <c r="AI74" s="109">
        <v>0</v>
      </c>
      <c r="AJ74" s="122"/>
      <c r="AK74" s="111"/>
    </row>
    <row r="75" spans="1:37" ht="49.5" outlineLevel="1">
      <c r="A75" s="234" t="s">
        <v>201</v>
      </c>
      <c r="B75" s="183" t="s">
        <v>202</v>
      </c>
      <c r="C75" s="182" t="s">
        <v>89</v>
      </c>
      <c r="D75" s="182" t="s">
        <v>11</v>
      </c>
      <c r="E75" s="178"/>
      <c r="F75" s="179"/>
      <c r="G75" s="61">
        <v>0</v>
      </c>
      <c r="H75" s="103">
        <v>0</v>
      </c>
      <c r="I75" s="200">
        <v>0.79010000000000002</v>
      </c>
      <c r="J75" s="110">
        <v>0</v>
      </c>
      <c r="K75" s="122">
        <v>0</v>
      </c>
      <c r="L75" s="61">
        <f t="shared" si="16"/>
        <v>0</v>
      </c>
      <c r="M75" s="181">
        <v>0</v>
      </c>
      <c r="N75" s="61">
        <f t="shared" si="33"/>
        <v>0</v>
      </c>
      <c r="O75" s="61">
        <f t="shared" si="34"/>
        <v>0</v>
      </c>
      <c r="P75" s="103">
        <v>0</v>
      </c>
      <c r="Q75" s="188">
        <v>0</v>
      </c>
      <c r="R75" s="249">
        <v>0</v>
      </c>
      <c r="S75" s="145">
        <f t="shared" si="15"/>
        <v>0</v>
      </c>
      <c r="T75" s="181">
        <v>0</v>
      </c>
      <c r="U75" s="61">
        <f t="shared" ref="U75:U76" si="133">AA75-AF75</f>
        <v>0</v>
      </c>
      <c r="V75" s="181">
        <v>0</v>
      </c>
      <c r="W75" s="140">
        <f>S75-Y75</f>
        <v>0</v>
      </c>
      <c r="X75" s="140">
        <f>S75-U75-Y75</f>
        <v>0</v>
      </c>
      <c r="Y75" s="111">
        <f t="shared" si="29"/>
        <v>0</v>
      </c>
      <c r="Z75" s="108">
        <v>0</v>
      </c>
      <c r="AA75" s="61">
        <v>0</v>
      </c>
      <c r="AB75" s="61">
        <v>0</v>
      </c>
      <c r="AC75" s="61">
        <v>0</v>
      </c>
      <c r="AD75" s="109">
        <v>0</v>
      </c>
      <c r="AE75" s="108">
        <v>0</v>
      </c>
      <c r="AF75" s="61">
        <v>0</v>
      </c>
      <c r="AG75" s="61">
        <v>0</v>
      </c>
      <c r="AH75" s="61">
        <v>0</v>
      </c>
      <c r="AI75" s="109">
        <v>0</v>
      </c>
      <c r="AJ75" s="122"/>
      <c r="AK75" s="111"/>
    </row>
    <row r="76" spans="1:37" s="28" customFormat="1" ht="115.5" outlineLevel="1">
      <c r="A76" s="234" t="s">
        <v>278</v>
      </c>
      <c r="B76" s="183" t="s">
        <v>203</v>
      </c>
      <c r="C76" s="182" t="s">
        <v>89</v>
      </c>
      <c r="D76" s="182" t="s">
        <v>11</v>
      </c>
      <c r="E76" s="178">
        <v>1</v>
      </c>
      <c r="F76" s="199">
        <v>12</v>
      </c>
      <c r="G76" s="65">
        <v>14368523</v>
      </c>
      <c r="H76" s="103">
        <v>12407934</v>
      </c>
      <c r="I76" s="200">
        <v>0.79010000000000002</v>
      </c>
      <c r="J76" s="220">
        <f>K76*I76</f>
        <v>12676275.229313996</v>
      </c>
      <c r="K76" s="122">
        <v>16043887.139999995</v>
      </c>
      <c r="L76" s="61">
        <v>13804432.760000002</v>
      </c>
      <c r="M76" s="181">
        <f t="shared" ref="M76:M100" si="134">L76/H76</f>
        <v>1.1125488546280147</v>
      </c>
      <c r="N76" s="61">
        <f t="shared" si="33"/>
        <v>16043887.139999995</v>
      </c>
      <c r="O76" s="61">
        <f t="shared" si="34"/>
        <v>2239454.3799999934</v>
      </c>
      <c r="P76" s="103">
        <v>0</v>
      </c>
      <c r="Q76" s="188">
        <f>S76*I76</f>
        <v>12393945.161854001</v>
      </c>
      <c r="R76" s="249">
        <f t="shared" ref="R76:R118" si="135">Q76/H76</f>
        <v>0.99887258925248967</v>
      </c>
      <c r="S76" s="145">
        <f t="shared" si="15"/>
        <v>15686552.540000001</v>
      </c>
      <c r="T76" s="181">
        <f t="shared" ref="T76:T100" si="136">S76/G76</f>
        <v>1.0917303427777512</v>
      </c>
      <c r="U76" s="61">
        <f t="shared" si="133"/>
        <v>13546567.890000001</v>
      </c>
      <c r="V76" s="181">
        <f t="shared" ref="V76:V100" si="137">U76/H76</f>
        <v>1.0917665978880933</v>
      </c>
      <c r="W76" s="140">
        <f>S76-Y76</f>
        <v>15686552.540000001</v>
      </c>
      <c r="X76" s="140">
        <f>S76-U76-Y76</f>
        <v>2139984.6500000004</v>
      </c>
      <c r="Y76" s="111">
        <f t="shared" si="29"/>
        <v>0</v>
      </c>
      <c r="Z76" s="110">
        <v>15686552.540000001</v>
      </c>
      <c r="AA76" s="65">
        <v>13546567.890000001</v>
      </c>
      <c r="AB76" s="65">
        <v>15686552.540000001</v>
      </c>
      <c r="AC76" s="65">
        <v>2139984.65</v>
      </c>
      <c r="AD76" s="111">
        <v>0</v>
      </c>
      <c r="AE76" s="110">
        <v>0</v>
      </c>
      <c r="AF76" s="65">
        <v>0</v>
      </c>
      <c r="AG76" s="65">
        <v>0</v>
      </c>
      <c r="AH76" s="65">
        <v>0</v>
      </c>
      <c r="AI76" s="111">
        <v>0</v>
      </c>
      <c r="AJ76" s="122"/>
      <c r="AK76" s="111"/>
    </row>
    <row r="77" spans="1:37" s="32" customFormat="1" ht="70.5" customHeight="1">
      <c r="A77" s="230" t="s">
        <v>204</v>
      </c>
      <c r="B77" s="167" t="s">
        <v>205</v>
      </c>
      <c r="C77" s="168" t="s">
        <v>283</v>
      </c>
      <c r="D77" s="168"/>
      <c r="E77" s="169"/>
      <c r="F77" s="196"/>
      <c r="G77" s="59">
        <f>G80</f>
        <v>51591383</v>
      </c>
      <c r="H77" s="106">
        <f>H80</f>
        <v>48014823</v>
      </c>
      <c r="I77" s="156">
        <v>0.93069999999999997</v>
      </c>
      <c r="J77" s="116">
        <f>J78+J79</f>
        <v>50612225.218525</v>
      </c>
      <c r="K77" s="125">
        <f>K78+K79</f>
        <v>54380815.749999993</v>
      </c>
      <c r="L77" s="147">
        <f>L78+L79</f>
        <v>50550416.539999999</v>
      </c>
      <c r="M77" s="159">
        <f t="shared" si="134"/>
        <v>1.0528085574740118</v>
      </c>
      <c r="N77" s="59">
        <f>N78+N79</f>
        <v>54380815.749999993</v>
      </c>
      <c r="O77" s="59">
        <f>O78+O79</f>
        <v>3830399.2099999981</v>
      </c>
      <c r="P77" s="105">
        <f>P78+P79</f>
        <v>0</v>
      </c>
      <c r="Q77" s="248">
        <f>Q78+Q79</f>
        <v>50645958.505173996</v>
      </c>
      <c r="R77" s="159">
        <f t="shared" si="135"/>
        <v>1.054798400593375</v>
      </c>
      <c r="S77" s="123">
        <f>S78+S79</f>
        <v>54417060.820000008</v>
      </c>
      <c r="T77" s="159">
        <f t="shared" si="136"/>
        <v>1.0547703444972585</v>
      </c>
      <c r="U77" s="57">
        <f>U78+U79</f>
        <v>50600462.510000005</v>
      </c>
      <c r="V77" s="159">
        <f t="shared" si="137"/>
        <v>1.0538508599729715</v>
      </c>
      <c r="W77" s="57">
        <f t="shared" ref="W77:AE77" si="138">W78+W79</f>
        <v>54417060.820000008</v>
      </c>
      <c r="X77" s="57">
        <f t="shared" si="138"/>
        <v>3816598.3099999996</v>
      </c>
      <c r="Y77" s="117">
        <f t="shared" si="138"/>
        <v>0</v>
      </c>
      <c r="Z77" s="125">
        <f t="shared" si="138"/>
        <v>54429394.490000002</v>
      </c>
      <c r="AA77" s="57">
        <f t="shared" si="138"/>
        <v>50612796.18</v>
      </c>
      <c r="AB77" s="57">
        <f t="shared" si="138"/>
        <v>54429394.490000002</v>
      </c>
      <c r="AC77" s="57">
        <f t="shared" si="138"/>
        <v>3816598.3099999996</v>
      </c>
      <c r="AD77" s="117">
        <f t="shared" si="138"/>
        <v>0</v>
      </c>
      <c r="AE77" s="125">
        <f t="shared" si="138"/>
        <v>12333.67</v>
      </c>
      <c r="AF77" s="57">
        <f t="shared" ref="AF77" si="139">AF78+AF79</f>
        <v>12333.67</v>
      </c>
      <c r="AG77" s="57">
        <f>AG78+AG79</f>
        <v>12333.67</v>
      </c>
      <c r="AH77" s="57">
        <f>AH78+AH79</f>
        <v>0</v>
      </c>
      <c r="AI77" s="117">
        <f>AI78+AI79</f>
        <v>0</v>
      </c>
      <c r="AJ77" s="125">
        <v>39351940.259999998</v>
      </c>
      <c r="AK77" s="238">
        <f>AJ77/H77</f>
        <v>0.81957899251237476</v>
      </c>
    </row>
    <row r="78" spans="1:37" s="32" customFormat="1" ht="49.5">
      <c r="A78" s="230" t="s">
        <v>204</v>
      </c>
      <c r="B78" s="167" t="s">
        <v>205</v>
      </c>
      <c r="C78" s="168" t="s">
        <v>89</v>
      </c>
      <c r="D78" s="168"/>
      <c r="E78" s="169"/>
      <c r="F78" s="207"/>
      <c r="G78" s="57">
        <f t="shared" ref="G78:H78" si="140">G81</f>
        <v>51591383</v>
      </c>
      <c r="H78" s="57">
        <f t="shared" si="140"/>
        <v>48014823</v>
      </c>
      <c r="I78" s="156">
        <v>0.93069999999999997</v>
      </c>
      <c r="J78" s="116">
        <f>J81</f>
        <v>50053629.837416999</v>
      </c>
      <c r="K78" s="147">
        <f>K81</f>
        <v>53780627.309999995</v>
      </c>
      <c r="L78" s="57">
        <f>L81</f>
        <v>49950228.100000001</v>
      </c>
      <c r="M78" s="159">
        <f t="shared" si="134"/>
        <v>1.0403084918172041</v>
      </c>
      <c r="N78" s="57">
        <f>N81</f>
        <v>53780627.309999995</v>
      </c>
      <c r="O78" s="57">
        <f>O81</f>
        <v>3830399.2099999981</v>
      </c>
      <c r="P78" s="106">
        <f t="shared" ref="P78:Q78" si="141">P81</f>
        <v>0</v>
      </c>
      <c r="Q78" s="166">
        <f t="shared" si="141"/>
        <v>50120846.582913995</v>
      </c>
      <c r="R78" s="159">
        <f t="shared" si="135"/>
        <v>1.0438619461934493</v>
      </c>
      <c r="S78" s="147">
        <f t="shared" ref="S78:Y79" si="142">S81</f>
        <v>53852849.020000011</v>
      </c>
      <c r="T78" s="159">
        <f t="shared" si="136"/>
        <v>1.043834180991039</v>
      </c>
      <c r="U78" s="57">
        <f t="shared" si="142"/>
        <v>50036250.710000008</v>
      </c>
      <c r="V78" s="159">
        <f t="shared" si="137"/>
        <v>1.0421000762618662</v>
      </c>
      <c r="W78" s="57">
        <f t="shared" si="142"/>
        <v>53852849.020000011</v>
      </c>
      <c r="X78" s="57">
        <f t="shared" si="142"/>
        <v>3816598.3099999996</v>
      </c>
      <c r="Y78" s="117">
        <f t="shared" si="142"/>
        <v>0</v>
      </c>
      <c r="Z78" s="147">
        <f t="shared" ref="Z78:AI79" si="143">Z81</f>
        <v>53865182.690000005</v>
      </c>
      <c r="AA78" s="57">
        <f t="shared" si="143"/>
        <v>50048584.380000003</v>
      </c>
      <c r="AB78" s="57">
        <f t="shared" si="143"/>
        <v>53865182.690000005</v>
      </c>
      <c r="AC78" s="57">
        <f t="shared" si="143"/>
        <v>3816598.3099999996</v>
      </c>
      <c r="AD78" s="117">
        <f t="shared" si="143"/>
        <v>0</v>
      </c>
      <c r="AE78" s="147">
        <f t="shared" si="143"/>
        <v>12333.67</v>
      </c>
      <c r="AF78" s="57">
        <f t="shared" si="143"/>
        <v>12333.67</v>
      </c>
      <c r="AG78" s="57">
        <f t="shared" si="143"/>
        <v>12333.67</v>
      </c>
      <c r="AH78" s="57">
        <f t="shared" si="143"/>
        <v>0</v>
      </c>
      <c r="AI78" s="117">
        <f t="shared" si="143"/>
        <v>0</v>
      </c>
      <c r="AJ78" s="125"/>
      <c r="AK78" s="238"/>
    </row>
    <row r="79" spans="1:37" s="32" customFormat="1" ht="49.5">
      <c r="A79" s="230" t="s">
        <v>204</v>
      </c>
      <c r="B79" s="167" t="s">
        <v>205</v>
      </c>
      <c r="C79" s="168" t="s">
        <v>284</v>
      </c>
      <c r="D79" s="168"/>
      <c r="E79" s="169"/>
      <c r="F79" s="207"/>
      <c r="G79" s="57" t="s">
        <v>308</v>
      </c>
      <c r="H79" s="57" t="s">
        <v>308</v>
      </c>
      <c r="I79" s="156">
        <v>0.93069999999999997</v>
      </c>
      <c r="J79" s="116">
        <f>J82</f>
        <v>558595.38110799994</v>
      </c>
      <c r="K79" s="147">
        <f>K82</f>
        <v>600188.43999999994</v>
      </c>
      <c r="L79" s="57">
        <f t="shared" ref="L79:Q79" si="144">L82</f>
        <v>600188.43999999994</v>
      </c>
      <c r="M79" s="159" t="s">
        <v>308</v>
      </c>
      <c r="N79" s="57">
        <f t="shared" si="144"/>
        <v>600188.43999999994</v>
      </c>
      <c r="O79" s="57">
        <f t="shared" si="144"/>
        <v>0</v>
      </c>
      <c r="P79" s="106">
        <f t="shared" si="144"/>
        <v>0</v>
      </c>
      <c r="Q79" s="166">
        <f t="shared" si="144"/>
        <v>525111.92226000014</v>
      </c>
      <c r="R79" s="159" t="s">
        <v>308</v>
      </c>
      <c r="S79" s="147">
        <f t="shared" si="142"/>
        <v>564211.80000000028</v>
      </c>
      <c r="T79" s="159" t="s">
        <v>308</v>
      </c>
      <c r="U79" s="57">
        <f t="shared" si="142"/>
        <v>564211.80000000028</v>
      </c>
      <c r="V79" s="159" t="s">
        <v>308</v>
      </c>
      <c r="W79" s="57">
        <f t="shared" si="142"/>
        <v>564211.80000000028</v>
      </c>
      <c r="X79" s="57">
        <f t="shared" si="142"/>
        <v>0</v>
      </c>
      <c r="Y79" s="117">
        <f t="shared" si="142"/>
        <v>0</v>
      </c>
      <c r="Z79" s="147">
        <f t="shared" si="143"/>
        <v>564211.80000000028</v>
      </c>
      <c r="AA79" s="57">
        <f t="shared" si="143"/>
        <v>564211.80000000028</v>
      </c>
      <c r="AB79" s="57">
        <f t="shared" si="143"/>
        <v>564211.80000000028</v>
      </c>
      <c r="AC79" s="57">
        <f t="shared" si="143"/>
        <v>0</v>
      </c>
      <c r="AD79" s="117">
        <f t="shared" si="143"/>
        <v>0</v>
      </c>
      <c r="AE79" s="147">
        <f t="shared" si="143"/>
        <v>0</v>
      </c>
      <c r="AF79" s="57">
        <f t="shared" si="143"/>
        <v>0</v>
      </c>
      <c r="AG79" s="57">
        <f t="shared" si="143"/>
        <v>0</v>
      </c>
      <c r="AH79" s="57">
        <f t="shared" si="143"/>
        <v>0</v>
      </c>
      <c r="AI79" s="117">
        <f t="shared" si="143"/>
        <v>0</v>
      </c>
      <c r="AJ79" s="125"/>
      <c r="AK79" s="238"/>
    </row>
    <row r="80" spans="1:37" s="28" customFormat="1" ht="57" customHeight="1">
      <c r="A80" s="232" t="s">
        <v>206</v>
      </c>
      <c r="B80" s="171" t="s">
        <v>207</v>
      </c>
      <c r="C80" s="172" t="s">
        <v>283</v>
      </c>
      <c r="D80" s="172"/>
      <c r="E80" s="173"/>
      <c r="F80" s="205"/>
      <c r="G80" s="58">
        <f>G81</f>
        <v>51591383</v>
      </c>
      <c r="H80" s="58">
        <f>H81</f>
        <v>48014823</v>
      </c>
      <c r="I80" s="157">
        <v>0.93069999999999997</v>
      </c>
      <c r="J80" s="112">
        <f>J81+J82</f>
        <v>50612225.218525</v>
      </c>
      <c r="K80" s="146">
        <f>K81+K82</f>
        <v>54380815.749999993</v>
      </c>
      <c r="L80" s="58">
        <f>L81+L82</f>
        <v>50550416.539999999</v>
      </c>
      <c r="M80" s="175">
        <f t="shared" si="134"/>
        <v>1.0528085574740118</v>
      </c>
      <c r="N80" s="60">
        <f>N81+N82</f>
        <v>54380815.749999993</v>
      </c>
      <c r="O80" s="60">
        <f t="shared" ref="O80:S80" si="145">O81+O82</f>
        <v>3830399.2099999981</v>
      </c>
      <c r="P80" s="107">
        <f t="shared" si="145"/>
        <v>0</v>
      </c>
      <c r="Q80" s="165">
        <f t="shared" ref="Q80" si="146">Q81+Q82</f>
        <v>50645958.505173996</v>
      </c>
      <c r="R80" s="175">
        <f t="shared" si="135"/>
        <v>1.054798400593375</v>
      </c>
      <c r="S80" s="143">
        <f t="shared" si="145"/>
        <v>54417060.820000008</v>
      </c>
      <c r="T80" s="175">
        <f t="shared" si="136"/>
        <v>1.0547703444972585</v>
      </c>
      <c r="U80" s="58">
        <f>U81+U82</f>
        <v>50600462.510000005</v>
      </c>
      <c r="V80" s="175">
        <f t="shared" si="137"/>
        <v>1.0538508599729715</v>
      </c>
      <c r="W80" s="58">
        <f>W81+W82</f>
        <v>54417060.820000008</v>
      </c>
      <c r="X80" s="58">
        <f t="shared" ref="X80:AI80" si="147">X81+X82</f>
        <v>3816598.3099999996</v>
      </c>
      <c r="Y80" s="113">
        <f t="shared" si="147"/>
        <v>0</v>
      </c>
      <c r="Z80" s="146">
        <f t="shared" si="147"/>
        <v>54429394.490000002</v>
      </c>
      <c r="AA80" s="58">
        <f t="shared" si="147"/>
        <v>50612796.18</v>
      </c>
      <c r="AB80" s="58">
        <f t="shared" si="147"/>
        <v>54429394.490000002</v>
      </c>
      <c r="AC80" s="58">
        <f t="shared" si="147"/>
        <v>3816598.3099999996</v>
      </c>
      <c r="AD80" s="113">
        <f t="shared" si="147"/>
        <v>0</v>
      </c>
      <c r="AE80" s="146">
        <f t="shared" si="147"/>
        <v>12333.67</v>
      </c>
      <c r="AF80" s="58">
        <f t="shared" si="147"/>
        <v>12333.67</v>
      </c>
      <c r="AG80" s="58">
        <f t="shared" si="147"/>
        <v>12333.67</v>
      </c>
      <c r="AH80" s="58">
        <f t="shared" si="147"/>
        <v>0</v>
      </c>
      <c r="AI80" s="113">
        <f t="shared" si="147"/>
        <v>0</v>
      </c>
      <c r="AJ80" s="124"/>
      <c r="AK80" s="113"/>
    </row>
    <row r="81" spans="1:37" s="28" customFormat="1" ht="33">
      <c r="A81" s="232" t="s">
        <v>206</v>
      </c>
      <c r="B81" s="171" t="s">
        <v>207</v>
      </c>
      <c r="C81" s="172" t="s">
        <v>89</v>
      </c>
      <c r="D81" s="172"/>
      <c r="E81" s="173"/>
      <c r="F81" s="205"/>
      <c r="G81" s="58">
        <f>G84+G86+G89+G90+G91</f>
        <v>51591383</v>
      </c>
      <c r="H81" s="58">
        <f>H84+H86+H89+H90+H91</f>
        <v>48014823</v>
      </c>
      <c r="I81" s="157">
        <v>0.93069999999999997</v>
      </c>
      <c r="J81" s="112">
        <f>J84+J86+J89+J90+J91</f>
        <v>50053629.837416999</v>
      </c>
      <c r="K81" s="146">
        <f>K84+K86+K89+K90+K91</f>
        <v>53780627.309999995</v>
      </c>
      <c r="L81" s="58">
        <f>L84+L86+L89+L90+L91</f>
        <v>49950228.100000001</v>
      </c>
      <c r="M81" s="175">
        <f t="shared" si="134"/>
        <v>1.0403084918172041</v>
      </c>
      <c r="N81" s="58">
        <f t="shared" ref="N81:AI81" si="148">N84+N86+N89+N90+N91</f>
        <v>53780627.309999995</v>
      </c>
      <c r="O81" s="58">
        <f t="shared" si="148"/>
        <v>3830399.2099999981</v>
      </c>
      <c r="P81" s="104">
        <f t="shared" si="148"/>
        <v>0</v>
      </c>
      <c r="Q81" s="189">
        <f t="shared" ref="Q81" si="149">Q84+Q86+Q89+Q90+Q91</f>
        <v>50120846.582913995</v>
      </c>
      <c r="R81" s="175">
        <f t="shared" si="135"/>
        <v>1.0438619461934493</v>
      </c>
      <c r="S81" s="146">
        <f t="shared" si="148"/>
        <v>53852849.020000011</v>
      </c>
      <c r="T81" s="175">
        <f t="shared" si="136"/>
        <v>1.043834180991039</v>
      </c>
      <c r="U81" s="58">
        <f t="shared" si="148"/>
        <v>50036250.710000008</v>
      </c>
      <c r="V81" s="175">
        <f t="shared" si="137"/>
        <v>1.0421000762618662</v>
      </c>
      <c r="W81" s="58">
        <f t="shared" si="148"/>
        <v>53852849.020000011</v>
      </c>
      <c r="X81" s="58">
        <f t="shared" si="148"/>
        <v>3816598.3099999996</v>
      </c>
      <c r="Y81" s="113">
        <f t="shared" si="148"/>
        <v>0</v>
      </c>
      <c r="Z81" s="146">
        <f t="shared" si="148"/>
        <v>53865182.690000005</v>
      </c>
      <c r="AA81" s="58">
        <f t="shared" si="148"/>
        <v>50048584.380000003</v>
      </c>
      <c r="AB81" s="58">
        <f t="shared" si="148"/>
        <v>53865182.690000005</v>
      </c>
      <c r="AC81" s="58">
        <f t="shared" si="148"/>
        <v>3816598.3099999996</v>
      </c>
      <c r="AD81" s="113">
        <f t="shared" si="148"/>
        <v>0</v>
      </c>
      <c r="AE81" s="146">
        <f>AE84+AE86+AE89+AE90+AE91</f>
        <v>12333.67</v>
      </c>
      <c r="AF81" s="58">
        <f t="shared" si="148"/>
        <v>12333.67</v>
      </c>
      <c r="AG81" s="58">
        <f>AG84+AG86+AG89+AG90+AG91</f>
        <v>12333.67</v>
      </c>
      <c r="AH81" s="58">
        <f t="shared" si="148"/>
        <v>0</v>
      </c>
      <c r="AI81" s="113">
        <f t="shared" si="148"/>
        <v>0</v>
      </c>
      <c r="AJ81" s="124"/>
      <c r="AK81" s="113"/>
    </row>
    <row r="82" spans="1:37" s="28" customFormat="1" ht="33">
      <c r="A82" s="232" t="s">
        <v>206</v>
      </c>
      <c r="B82" s="171" t="s">
        <v>207</v>
      </c>
      <c r="C82" s="172" t="s">
        <v>284</v>
      </c>
      <c r="D82" s="172"/>
      <c r="E82" s="173"/>
      <c r="F82" s="205"/>
      <c r="G82" s="58" t="s">
        <v>308</v>
      </c>
      <c r="H82" s="58" t="s">
        <v>308</v>
      </c>
      <c r="I82" s="157">
        <v>0.93069999999999997</v>
      </c>
      <c r="J82" s="112">
        <f>J85+J87+J92</f>
        <v>558595.38110799994</v>
      </c>
      <c r="K82" s="146">
        <f>K85+K87+K92</f>
        <v>600188.43999999994</v>
      </c>
      <c r="L82" s="58">
        <f>L85+L87+L92</f>
        <v>600188.43999999994</v>
      </c>
      <c r="M82" s="175" t="s">
        <v>308</v>
      </c>
      <c r="N82" s="58">
        <f t="shared" ref="N82:AI82" si="150">N85+N87+N92</f>
        <v>600188.43999999994</v>
      </c>
      <c r="O82" s="58">
        <f t="shared" si="150"/>
        <v>0</v>
      </c>
      <c r="P82" s="104">
        <f t="shared" si="150"/>
        <v>0</v>
      </c>
      <c r="Q82" s="189">
        <f t="shared" ref="Q82" si="151">Q85+Q87+Q92</f>
        <v>525111.92226000014</v>
      </c>
      <c r="R82" s="175" t="s">
        <v>308</v>
      </c>
      <c r="S82" s="146">
        <f t="shared" si="150"/>
        <v>564211.80000000028</v>
      </c>
      <c r="T82" s="175" t="s">
        <v>308</v>
      </c>
      <c r="U82" s="58">
        <f t="shared" si="150"/>
        <v>564211.80000000028</v>
      </c>
      <c r="V82" s="175" t="s">
        <v>308</v>
      </c>
      <c r="W82" s="58">
        <f t="shared" si="150"/>
        <v>564211.80000000028</v>
      </c>
      <c r="X82" s="58">
        <f t="shared" si="150"/>
        <v>0</v>
      </c>
      <c r="Y82" s="113">
        <f t="shared" si="150"/>
        <v>0</v>
      </c>
      <c r="Z82" s="146">
        <f t="shared" si="150"/>
        <v>564211.80000000028</v>
      </c>
      <c r="AA82" s="58">
        <f t="shared" si="150"/>
        <v>564211.80000000028</v>
      </c>
      <c r="AB82" s="58">
        <f t="shared" si="150"/>
        <v>564211.80000000028</v>
      </c>
      <c r="AC82" s="58">
        <f t="shared" si="150"/>
        <v>0</v>
      </c>
      <c r="AD82" s="113">
        <f t="shared" si="150"/>
        <v>0</v>
      </c>
      <c r="AE82" s="146">
        <f t="shared" si="150"/>
        <v>0</v>
      </c>
      <c r="AF82" s="58">
        <f t="shared" si="150"/>
        <v>0</v>
      </c>
      <c r="AG82" s="58">
        <f t="shared" si="150"/>
        <v>0</v>
      </c>
      <c r="AH82" s="58">
        <f t="shared" si="150"/>
        <v>0</v>
      </c>
      <c r="AI82" s="113">
        <f t="shared" si="150"/>
        <v>0</v>
      </c>
      <c r="AJ82" s="124"/>
      <c r="AK82" s="113"/>
    </row>
    <row r="83" spans="1:37" s="28" customFormat="1" ht="66" outlineLevel="1">
      <c r="A83" s="236" t="s">
        <v>208</v>
      </c>
      <c r="B83" s="176" t="s">
        <v>209</v>
      </c>
      <c r="C83" s="177" t="s">
        <v>283</v>
      </c>
      <c r="D83" s="177" t="s">
        <v>210</v>
      </c>
      <c r="E83" s="178"/>
      <c r="F83" s="179"/>
      <c r="G83" s="65">
        <f t="shared" ref="G83:H83" si="152">SUM(G84:G86)</f>
        <v>31411898</v>
      </c>
      <c r="H83" s="103">
        <f t="shared" si="152"/>
        <v>29093506</v>
      </c>
      <c r="I83" s="180">
        <v>0.93069999999999997</v>
      </c>
      <c r="J83" s="110">
        <f>SUM(J84:J87)</f>
        <v>32379076.686315004</v>
      </c>
      <c r="K83" s="145">
        <f>SUM(K84:K87)</f>
        <v>34790025.449999996</v>
      </c>
      <c r="L83" s="65">
        <f>SUM(L84:L87)</f>
        <v>32217438.189999998</v>
      </c>
      <c r="M83" s="181">
        <f t="shared" si="134"/>
        <v>1.1073755837471082</v>
      </c>
      <c r="N83" s="61">
        <f>SUM(N84:N87)</f>
        <v>34790025.449999996</v>
      </c>
      <c r="O83" s="61">
        <f>SUM(O84:O87)</f>
        <v>2572587.2599999998</v>
      </c>
      <c r="P83" s="102">
        <f>SUM(P84:P87)</f>
        <v>0</v>
      </c>
      <c r="Q83" s="188">
        <f>SUM(Q84:Q87)</f>
        <v>32516038.116727997</v>
      </c>
      <c r="R83" s="249">
        <f t="shared" si="135"/>
        <v>1.1176390400224709</v>
      </c>
      <c r="S83" s="145">
        <f>SUM(S84:S87)</f>
        <v>34937185.039999999</v>
      </c>
      <c r="T83" s="181">
        <f t="shared" si="136"/>
        <v>1.1122277628687065</v>
      </c>
      <c r="U83" s="65">
        <f>SUM(U84:U87)</f>
        <v>32369670.850000001</v>
      </c>
      <c r="V83" s="181">
        <f t="shared" si="137"/>
        <v>1.1126081143331437</v>
      </c>
      <c r="W83" s="65">
        <f t="shared" ref="W83:AD83" si="153">SUM(W84:W87)</f>
        <v>34937185.039999999</v>
      </c>
      <c r="X83" s="65">
        <f t="shared" si="153"/>
        <v>2567514.1899999995</v>
      </c>
      <c r="Y83" s="111">
        <f t="shared" si="153"/>
        <v>0</v>
      </c>
      <c r="Z83" s="122">
        <f t="shared" si="153"/>
        <v>34937185.039999999</v>
      </c>
      <c r="AA83" s="65">
        <f t="shared" si="153"/>
        <v>32369670.850000001</v>
      </c>
      <c r="AB83" s="65">
        <f t="shared" si="153"/>
        <v>34937185.039999999</v>
      </c>
      <c r="AC83" s="65">
        <f t="shared" si="153"/>
        <v>2567514.1899999995</v>
      </c>
      <c r="AD83" s="111">
        <f t="shared" si="153"/>
        <v>0</v>
      </c>
      <c r="AE83" s="122">
        <f t="shared" ref="AE83:AI83" si="154">SUM(AE84:AE87)</f>
        <v>0</v>
      </c>
      <c r="AF83" s="65">
        <f t="shared" si="154"/>
        <v>0</v>
      </c>
      <c r="AG83" s="65">
        <f t="shared" si="154"/>
        <v>0</v>
      </c>
      <c r="AH83" s="65">
        <f t="shared" si="154"/>
        <v>0</v>
      </c>
      <c r="AI83" s="111">
        <f t="shared" si="154"/>
        <v>0</v>
      </c>
      <c r="AJ83" s="122"/>
      <c r="AK83" s="111"/>
    </row>
    <row r="84" spans="1:37" s="56" customFormat="1" ht="82.5" outlineLevel="1">
      <c r="A84" s="234" t="s">
        <v>279</v>
      </c>
      <c r="B84" s="183" t="s">
        <v>211</v>
      </c>
      <c r="C84" s="182" t="s">
        <v>89</v>
      </c>
      <c r="D84" s="182" t="s">
        <v>210</v>
      </c>
      <c r="E84" s="178" t="s">
        <v>212</v>
      </c>
      <c r="F84" s="179" t="s">
        <v>183</v>
      </c>
      <c r="G84" s="61">
        <v>18136721</v>
      </c>
      <c r="H84" s="103">
        <v>16707386</v>
      </c>
      <c r="I84" s="180">
        <v>0.93069999999999997</v>
      </c>
      <c r="J84" s="221">
        <f>K84*I84</f>
        <v>18343341.420511998</v>
      </c>
      <c r="K84" s="145">
        <f>19740124.63-K85</f>
        <v>19709188.16</v>
      </c>
      <c r="L84" s="61">
        <f>18177261.2-L85</f>
        <v>18146324.73</v>
      </c>
      <c r="M84" s="181">
        <f t="shared" si="134"/>
        <v>1.0861259044353198</v>
      </c>
      <c r="N84" s="61">
        <f>K84-P84</f>
        <v>19709188.16</v>
      </c>
      <c r="O84" s="61">
        <f t="shared" si="34"/>
        <v>1562863.4299999997</v>
      </c>
      <c r="P84" s="103">
        <v>0</v>
      </c>
      <c r="Q84" s="188">
        <f>S84*I84</f>
        <v>18196657.879285</v>
      </c>
      <c r="R84" s="249">
        <f t="shared" si="135"/>
        <v>1.0891385330586725</v>
      </c>
      <c r="S84" s="145">
        <f t="shared" si="15"/>
        <v>19551582.550000001</v>
      </c>
      <c r="T84" s="181">
        <f t="shared" si="136"/>
        <v>1.0780108791440306</v>
      </c>
      <c r="U84" s="61">
        <f>AA84-AF84</f>
        <v>18013152.07</v>
      </c>
      <c r="V84" s="181">
        <f t="shared" si="137"/>
        <v>1.0781550189838196</v>
      </c>
      <c r="W84" s="140">
        <f>S84-Y84</f>
        <v>19551582.550000001</v>
      </c>
      <c r="X84" s="140">
        <f>S84-U84-Y84</f>
        <v>1538430.4800000004</v>
      </c>
      <c r="Y84" s="111">
        <f t="shared" si="29"/>
        <v>0</v>
      </c>
      <c r="Z84" s="120">
        <f>AB84+AD84</f>
        <v>19551582.550000001</v>
      </c>
      <c r="AA84" s="61">
        <f>18043098.22-AA85</f>
        <v>18013152.07</v>
      </c>
      <c r="AB84" s="61">
        <f>AA84+AC84</f>
        <v>19551582.550000001</v>
      </c>
      <c r="AC84" s="61">
        <v>1538430.48</v>
      </c>
      <c r="AD84" s="109">
        <v>0</v>
      </c>
      <c r="AE84" s="120">
        <v>0</v>
      </c>
      <c r="AF84" s="61">
        <v>0</v>
      </c>
      <c r="AG84" s="61">
        <v>0</v>
      </c>
      <c r="AH84" s="61">
        <v>0</v>
      </c>
      <c r="AI84" s="109">
        <v>0</v>
      </c>
      <c r="AJ84" s="122"/>
      <c r="AK84" s="111"/>
    </row>
    <row r="85" spans="1:37" s="56" customFormat="1" ht="82.5" outlineLevel="1">
      <c r="A85" s="234" t="s">
        <v>279</v>
      </c>
      <c r="B85" s="183" t="s">
        <v>211</v>
      </c>
      <c r="C85" s="182" t="s">
        <v>284</v>
      </c>
      <c r="D85" s="182" t="s">
        <v>210</v>
      </c>
      <c r="E85" s="178" t="s">
        <v>212</v>
      </c>
      <c r="F85" s="179" t="s">
        <v>183</v>
      </c>
      <c r="G85" s="61" t="s">
        <v>308</v>
      </c>
      <c r="H85" s="103" t="s">
        <v>308</v>
      </c>
      <c r="I85" s="180">
        <v>0.93069999999999997</v>
      </c>
      <c r="J85" s="221">
        <f>K85*I85</f>
        <v>28792.572628999998</v>
      </c>
      <c r="K85" s="145">
        <v>30936.47</v>
      </c>
      <c r="L85" s="61">
        <v>30936.47</v>
      </c>
      <c r="M85" s="181" t="s">
        <v>308</v>
      </c>
      <c r="N85" s="61">
        <f>K85-P85</f>
        <v>30936.47</v>
      </c>
      <c r="O85" s="61">
        <f>N85-L85</f>
        <v>0</v>
      </c>
      <c r="P85" s="103">
        <v>0</v>
      </c>
      <c r="Q85" s="188">
        <f t="shared" ref="Q85:Q87" si="155">S85*I85</f>
        <v>27870.881804999997</v>
      </c>
      <c r="R85" s="249" t="s">
        <v>308</v>
      </c>
      <c r="S85" s="145">
        <f>Z85-AE85</f>
        <v>29946.149999999998</v>
      </c>
      <c r="T85" s="181" t="s">
        <v>308</v>
      </c>
      <c r="U85" s="61">
        <f t="shared" ref="U85:U87" si="156">AA85-AF85</f>
        <v>29946.149999999998</v>
      </c>
      <c r="V85" s="181" t="s">
        <v>308</v>
      </c>
      <c r="W85" s="140">
        <f>S85-Y85</f>
        <v>29946.149999999998</v>
      </c>
      <c r="X85" s="140">
        <f>S85-U85-Y85</f>
        <v>0</v>
      </c>
      <c r="Y85" s="111">
        <f t="shared" si="29"/>
        <v>0</v>
      </c>
      <c r="Z85" s="120">
        <v>29946.149999999998</v>
      </c>
      <c r="AA85" s="61">
        <v>29946.149999999998</v>
      </c>
      <c r="AB85" s="61">
        <v>29946.149999999998</v>
      </c>
      <c r="AC85" s="61">
        <v>0</v>
      </c>
      <c r="AD85" s="109">
        <v>0</v>
      </c>
      <c r="AE85" s="120">
        <v>0</v>
      </c>
      <c r="AF85" s="61">
        <v>0</v>
      </c>
      <c r="AG85" s="61">
        <v>0</v>
      </c>
      <c r="AH85" s="61">
        <v>0</v>
      </c>
      <c r="AI85" s="109">
        <v>0</v>
      </c>
      <c r="AJ85" s="122"/>
      <c r="AK85" s="111"/>
    </row>
    <row r="86" spans="1:37" s="56" customFormat="1" ht="82.5" outlineLevel="1">
      <c r="A86" s="234" t="s">
        <v>280</v>
      </c>
      <c r="B86" s="183" t="s">
        <v>213</v>
      </c>
      <c r="C86" s="182" t="s">
        <v>89</v>
      </c>
      <c r="D86" s="182" t="s">
        <v>210</v>
      </c>
      <c r="E86" s="178" t="s">
        <v>212</v>
      </c>
      <c r="F86" s="179" t="s">
        <v>183</v>
      </c>
      <c r="G86" s="61">
        <v>13275177</v>
      </c>
      <c r="H86" s="103">
        <v>12386120</v>
      </c>
      <c r="I86" s="180">
        <v>0.93069999999999997</v>
      </c>
      <c r="J86" s="221">
        <f>K86*I86</f>
        <v>13812398.769998001</v>
      </c>
      <c r="K86" s="145">
        <f>15049900.82-K87</f>
        <v>14840871.140000001</v>
      </c>
      <c r="L86" s="61">
        <f>14040176.99-L87</f>
        <v>13831147.310000001</v>
      </c>
      <c r="M86" s="181">
        <f t="shared" si="134"/>
        <v>1.1166650500721775</v>
      </c>
      <c r="N86" s="61">
        <f>K86-P86</f>
        <v>14840871.140000001</v>
      </c>
      <c r="O86" s="61">
        <f>N86-L86</f>
        <v>1009723.8300000001</v>
      </c>
      <c r="P86" s="103">
        <v>0</v>
      </c>
      <c r="Q86" s="188">
        <f t="shared" si="155"/>
        <v>14115314.918214999</v>
      </c>
      <c r="R86" s="249">
        <f t="shared" si="135"/>
        <v>1.1396074733827057</v>
      </c>
      <c r="S86" s="145">
        <f t="shared" ref="S86:S118" si="157">Z86-AE86</f>
        <v>15166342.449999999</v>
      </c>
      <c r="T86" s="181">
        <f t="shared" si="136"/>
        <v>1.1424587747492934</v>
      </c>
      <c r="U86" s="61">
        <f t="shared" si="156"/>
        <v>14137258.74</v>
      </c>
      <c r="V86" s="181">
        <f t="shared" si="137"/>
        <v>1.1413791195305714</v>
      </c>
      <c r="W86" s="140">
        <f>S86-Y86</f>
        <v>15166342.449999999</v>
      </c>
      <c r="X86" s="140">
        <f>S86-U86-Y86</f>
        <v>1029083.709999999</v>
      </c>
      <c r="Y86" s="111">
        <f t="shared" si="29"/>
        <v>0</v>
      </c>
      <c r="Z86" s="120">
        <f>AB86+AD86</f>
        <v>15166342.449999999</v>
      </c>
      <c r="AA86" s="61">
        <f>14326572.63-AA87</f>
        <v>14137258.74</v>
      </c>
      <c r="AB86" s="61">
        <f>AA86+AC86</f>
        <v>15166342.449999999</v>
      </c>
      <c r="AC86" s="61">
        <v>1029083.7099999997</v>
      </c>
      <c r="AD86" s="109">
        <v>0</v>
      </c>
      <c r="AE86" s="120">
        <v>0</v>
      </c>
      <c r="AF86" s="61">
        <v>0</v>
      </c>
      <c r="AG86" s="61">
        <v>0</v>
      </c>
      <c r="AH86" s="61">
        <v>0</v>
      </c>
      <c r="AI86" s="109">
        <v>0</v>
      </c>
      <c r="AJ86" s="122"/>
      <c r="AK86" s="111"/>
    </row>
    <row r="87" spans="1:37" s="56" customFormat="1" ht="82.5" outlineLevel="1">
      <c r="A87" s="234" t="s">
        <v>280</v>
      </c>
      <c r="B87" s="183" t="s">
        <v>213</v>
      </c>
      <c r="C87" s="182" t="s">
        <v>284</v>
      </c>
      <c r="D87" s="182" t="s">
        <v>210</v>
      </c>
      <c r="E87" s="178" t="s">
        <v>212</v>
      </c>
      <c r="F87" s="179" t="s">
        <v>183</v>
      </c>
      <c r="G87" s="61" t="s">
        <v>308</v>
      </c>
      <c r="H87" s="103" t="s">
        <v>308</v>
      </c>
      <c r="I87" s="180">
        <v>0.93069999999999997</v>
      </c>
      <c r="J87" s="221">
        <f>K87*I87</f>
        <v>194543.92317599998</v>
      </c>
      <c r="K87" s="145">
        <v>209029.68</v>
      </c>
      <c r="L87" s="61">
        <v>209029.68</v>
      </c>
      <c r="M87" s="181" t="s">
        <v>308</v>
      </c>
      <c r="N87" s="61">
        <f>K87-P87</f>
        <v>209029.68</v>
      </c>
      <c r="O87" s="61">
        <f>N87-L87</f>
        <v>0</v>
      </c>
      <c r="P87" s="103">
        <v>0</v>
      </c>
      <c r="Q87" s="188">
        <f t="shared" si="155"/>
        <v>176194.437423</v>
      </c>
      <c r="R87" s="249" t="s">
        <v>308</v>
      </c>
      <c r="S87" s="145">
        <f t="shared" si="157"/>
        <v>189313.89</v>
      </c>
      <c r="T87" s="181" t="s">
        <v>308</v>
      </c>
      <c r="U87" s="61">
        <f t="shared" si="156"/>
        <v>189313.89</v>
      </c>
      <c r="V87" s="181" t="s">
        <v>308</v>
      </c>
      <c r="W87" s="140">
        <f>S87-Y87</f>
        <v>189313.89</v>
      </c>
      <c r="X87" s="140">
        <f>S87-U87-Y87</f>
        <v>0</v>
      </c>
      <c r="Y87" s="111">
        <f t="shared" ref="Y87" si="158">AD87-AI87</f>
        <v>0</v>
      </c>
      <c r="Z87" s="120">
        <v>189313.89</v>
      </c>
      <c r="AA87" s="61">
        <v>189313.89</v>
      </c>
      <c r="AB87" s="61">
        <v>189313.89</v>
      </c>
      <c r="AC87" s="61">
        <v>0</v>
      </c>
      <c r="AD87" s="109">
        <v>0</v>
      </c>
      <c r="AE87" s="120">
        <v>0</v>
      </c>
      <c r="AF87" s="61">
        <v>0</v>
      </c>
      <c r="AG87" s="61">
        <v>0</v>
      </c>
      <c r="AH87" s="61">
        <v>0</v>
      </c>
      <c r="AI87" s="109">
        <v>0</v>
      </c>
      <c r="AJ87" s="122"/>
      <c r="AK87" s="111"/>
    </row>
    <row r="88" spans="1:37" ht="82.5" outlineLevel="1">
      <c r="A88" s="236" t="s">
        <v>214</v>
      </c>
      <c r="B88" s="176" t="s">
        <v>215</v>
      </c>
      <c r="C88" s="177" t="s">
        <v>283</v>
      </c>
      <c r="D88" s="177" t="s">
        <v>210</v>
      </c>
      <c r="E88" s="178"/>
      <c r="F88" s="179"/>
      <c r="G88" s="61">
        <f>SUM(G89:G91)</f>
        <v>20179485</v>
      </c>
      <c r="H88" s="103">
        <f>SUM(H89:H91)</f>
        <v>18921317</v>
      </c>
      <c r="I88" s="180">
        <v>0.93069999999999997</v>
      </c>
      <c r="J88" s="110">
        <f>SUM(J89:J92)</f>
        <v>18233148.53221</v>
      </c>
      <c r="K88" s="145">
        <f>SUM(K89:K92)</f>
        <v>19590790.300000001</v>
      </c>
      <c r="L88" s="65">
        <f>SUM(L89:L92)</f>
        <v>18332978.350000001</v>
      </c>
      <c r="M88" s="181">
        <f t="shared" si="134"/>
        <v>0.96890604126552082</v>
      </c>
      <c r="N88" s="61">
        <f>SUM(N89:N92)</f>
        <v>19590790.300000001</v>
      </c>
      <c r="O88" s="61">
        <f>SUM(O89:O92)</f>
        <v>1257811.9499999983</v>
      </c>
      <c r="P88" s="102">
        <f>SUM(P89:P92)</f>
        <v>0</v>
      </c>
      <c r="Q88" s="163">
        <f>SUM(Q89:Q92)</f>
        <v>18129920.388445999</v>
      </c>
      <c r="R88" s="249">
        <f t="shared" si="135"/>
        <v>0.95817433788810791</v>
      </c>
      <c r="S88" s="120">
        <f>SUM(S89:S92)</f>
        <v>19479875.780000005</v>
      </c>
      <c r="T88" s="181">
        <f t="shared" si="136"/>
        <v>0.96533067023266472</v>
      </c>
      <c r="U88" s="65">
        <f>SUM(U89:U92)</f>
        <v>18230791.660000004</v>
      </c>
      <c r="V88" s="181">
        <f t="shared" si="137"/>
        <v>0.96350542935251304</v>
      </c>
      <c r="W88" s="65">
        <f>SUM(W89:W92)</f>
        <v>19479875.780000005</v>
      </c>
      <c r="X88" s="65">
        <f t="shared" ref="X88:Y88" si="159">SUM(X89:X92)</f>
        <v>1249084.1199999999</v>
      </c>
      <c r="Y88" s="111">
        <f t="shared" si="159"/>
        <v>0</v>
      </c>
      <c r="Z88" s="122">
        <f>SUM(Z89:Z92)</f>
        <v>19492209.450000003</v>
      </c>
      <c r="AA88" s="65">
        <f t="shared" ref="AA88" si="160">SUM(AA89:AA92)</f>
        <v>18243125.330000002</v>
      </c>
      <c r="AB88" s="65">
        <f t="shared" ref="AB88" si="161">SUM(AB89:AB92)</f>
        <v>19492209.450000003</v>
      </c>
      <c r="AC88" s="65">
        <f t="shared" ref="AC88" si="162">SUM(AC89:AC92)</f>
        <v>1249084.1200000003</v>
      </c>
      <c r="AD88" s="111">
        <f t="shared" ref="AD88" si="163">SUM(AD89:AD92)</f>
        <v>0</v>
      </c>
      <c r="AE88" s="122">
        <f t="shared" ref="AE88" si="164">SUM(AE89:AE92)</f>
        <v>12333.67</v>
      </c>
      <c r="AF88" s="65">
        <f t="shared" ref="AF88" si="165">SUM(AF89:AF92)</f>
        <v>12333.67</v>
      </c>
      <c r="AG88" s="65">
        <f t="shared" ref="AG88" si="166">SUM(AG89:AG92)</f>
        <v>12333.67</v>
      </c>
      <c r="AH88" s="65">
        <f t="shared" ref="AH88" si="167">SUM(AH89:AH92)</f>
        <v>0</v>
      </c>
      <c r="AI88" s="111">
        <f t="shared" ref="AI88" si="168">SUM(AI89:AI92)</f>
        <v>0</v>
      </c>
      <c r="AJ88" s="122"/>
      <c r="AK88" s="111"/>
    </row>
    <row r="89" spans="1:37" s="32" customFormat="1" ht="66" outlineLevel="1">
      <c r="A89" s="234" t="s">
        <v>216</v>
      </c>
      <c r="B89" s="183" t="s">
        <v>217</v>
      </c>
      <c r="C89" s="182" t="s">
        <v>89</v>
      </c>
      <c r="D89" s="182" t="s">
        <v>210</v>
      </c>
      <c r="E89" s="178" t="s">
        <v>212</v>
      </c>
      <c r="F89" s="179" t="s">
        <v>183</v>
      </c>
      <c r="G89" s="61">
        <v>2112691</v>
      </c>
      <c r="H89" s="102">
        <v>1795787</v>
      </c>
      <c r="I89" s="180">
        <v>0.93069999999999997</v>
      </c>
      <c r="J89" s="221">
        <f>K89*I89</f>
        <v>1972027.6834209997</v>
      </c>
      <c r="K89" s="144">
        <v>2118865.0299999998</v>
      </c>
      <c r="L89" s="61">
        <v>1801035.2500000005</v>
      </c>
      <c r="M89" s="181">
        <f t="shared" si="134"/>
        <v>1.0029225347995059</v>
      </c>
      <c r="N89" s="61">
        <f t="shared" si="33"/>
        <v>2118865.0299999998</v>
      </c>
      <c r="O89" s="61">
        <f t="shared" si="34"/>
        <v>317829.77999999933</v>
      </c>
      <c r="P89" s="102">
        <v>0</v>
      </c>
      <c r="Q89" s="163">
        <f>S89*I89</f>
        <v>1946306.4487130002</v>
      </c>
      <c r="R89" s="249">
        <f t="shared" si="135"/>
        <v>1.0838180968639377</v>
      </c>
      <c r="S89" s="145">
        <f t="shared" si="157"/>
        <v>2091228.5900000003</v>
      </c>
      <c r="T89" s="181">
        <f t="shared" si="136"/>
        <v>0.98984119778992774</v>
      </c>
      <c r="U89" s="61">
        <f>AA89-AF89</f>
        <v>1777544.3500000003</v>
      </c>
      <c r="V89" s="181">
        <f t="shared" si="137"/>
        <v>0.98984141771824852</v>
      </c>
      <c r="W89" s="140">
        <f>S89-Y89</f>
        <v>2091228.5900000003</v>
      </c>
      <c r="X89" s="140">
        <f>S89-U89-Y89</f>
        <v>313684.24</v>
      </c>
      <c r="Y89" s="109">
        <f t="shared" si="29"/>
        <v>0</v>
      </c>
      <c r="Z89" s="120">
        <v>2091228.5900000003</v>
      </c>
      <c r="AA89" s="61">
        <v>1777544.3500000003</v>
      </c>
      <c r="AB89" s="61">
        <v>2091228.5900000003</v>
      </c>
      <c r="AC89" s="61">
        <v>313684.24</v>
      </c>
      <c r="AD89" s="109">
        <v>0</v>
      </c>
      <c r="AE89" s="120">
        <v>0</v>
      </c>
      <c r="AF89" s="61">
        <v>0</v>
      </c>
      <c r="AG89" s="61">
        <v>0</v>
      </c>
      <c r="AH89" s="61">
        <v>0</v>
      </c>
      <c r="AI89" s="109">
        <v>0</v>
      </c>
      <c r="AJ89" s="120"/>
      <c r="AK89" s="109"/>
    </row>
    <row r="90" spans="1:37" ht="99" outlineLevel="1">
      <c r="A90" s="234" t="s">
        <v>218</v>
      </c>
      <c r="B90" s="183" t="s">
        <v>219</v>
      </c>
      <c r="C90" s="182" t="s">
        <v>89</v>
      </c>
      <c r="D90" s="182" t="s">
        <v>210</v>
      </c>
      <c r="E90" s="178" t="s">
        <v>212</v>
      </c>
      <c r="F90" s="179" t="s">
        <v>183</v>
      </c>
      <c r="G90" s="61">
        <v>5382038</v>
      </c>
      <c r="H90" s="103">
        <v>4574733</v>
      </c>
      <c r="I90" s="180">
        <v>0.93069999999999997</v>
      </c>
      <c r="J90" s="221">
        <f t="shared" ref="J90" si="169">K90*I90</f>
        <v>4979451.4944089996</v>
      </c>
      <c r="K90" s="122">
        <v>5350221.87</v>
      </c>
      <c r="L90" s="61">
        <v>4547688.5200000014</v>
      </c>
      <c r="M90" s="181">
        <f t="shared" si="134"/>
        <v>0.99408829324028336</v>
      </c>
      <c r="N90" s="61">
        <f t="shared" si="33"/>
        <v>5350221.87</v>
      </c>
      <c r="O90" s="61">
        <f t="shared" si="34"/>
        <v>802533.3499999987</v>
      </c>
      <c r="P90" s="103">
        <v>0</v>
      </c>
      <c r="Q90" s="163">
        <f t="shared" ref="Q90:Q92" si="170">S90*I90</f>
        <v>4979724.7293149997</v>
      </c>
      <c r="R90" s="249">
        <f t="shared" si="135"/>
        <v>1.0885279489130841</v>
      </c>
      <c r="S90" s="145">
        <f t="shared" si="157"/>
        <v>5350515.45</v>
      </c>
      <c r="T90" s="181">
        <f t="shared" si="136"/>
        <v>0.99414300865211291</v>
      </c>
      <c r="U90" s="61">
        <f t="shared" ref="U90:U91" si="171">AA90-AF90</f>
        <v>4547938.18</v>
      </c>
      <c r="V90" s="181">
        <f t="shared" si="137"/>
        <v>0.9941428669170419</v>
      </c>
      <c r="W90" s="140">
        <f>S90-Y90</f>
        <v>5350515.45</v>
      </c>
      <c r="X90" s="140">
        <f>S90-U90-Y90</f>
        <v>802577.27000000048</v>
      </c>
      <c r="Y90" s="111">
        <f t="shared" si="29"/>
        <v>0</v>
      </c>
      <c r="Z90" s="120">
        <v>5350515.45</v>
      </c>
      <c r="AA90" s="61">
        <v>4547938.18</v>
      </c>
      <c r="AB90" s="61">
        <v>5350515.45</v>
      </c>
      <c r="AC90" s="61">
        <v>802577.27000000014</v>
      </c>
      <c r="AD90" s="109">
        <v>0</v>
      </c>
      <c r="AE90" s="120">
        <v>0</v>
      </c>
      <c r="AF90" s="61">
        <v>0</v>
      </c>
      <c r="AG90" s="61">
        <v>0</v>
      </c>
      <c r="AH90" s="61">
        <v>0</v>
      </c>
      <c r="AI90" s="109">
        <v>0</v>
      </c>
      <c r="AJ90" s="122"/>
      <c r="AK90" s="111"/>
    </row>
    <row r="91" spans="1:37" s="56" customFormat="1" ht="82.5" outlineLevel="1">
      <c r="A91" s="234" t="s">
        <v>288</v>
      </c>
      <c r="B91" s="183" t="s">
        <v>220</v>
      </c>
      <c r="C91" s="182" t="s">
        <v>89</v>
      </c>
      <c r="D91" s="182" t="s">
        <v>210</v>
      </c>
      <c r="E91" s="178" t="s">
        <v>212</v>
      </c>
      <c r="F91" s="179" t="s">
        <v>183</v>
      </c>
      <c r="G91" s="61">
        <v>12684756</v>
      </c>
      <c r="H91" s="103">
        <v>12550797</v>
      </c>
      <c r="I91" s="180">
        <v>0.93069999999999997</v>
      </c>
      <c r="J91" s="221">
        <f>K91*I91</f>
        <v>10946410.469077</v>
      </c>
      <c r="K91" s="122">
        <f>12121703.4-K92</f>
        <v>11761481.110000001</v>
      </c>
      <c r="L91" s="61">
        <f>11984254.58-L92</f>
        <v>11624032.290000001</v>
      </c>
      <c r="M91" s="181">
        <f t="shared" si="134"/>
        <v>0.92615889572590493</v>
      </c>
      <c r="N91" s="61">
        <f>K91-P91</f>
        <v>11761481.110000001</v>
      </c>
      <c r="O91" s="61">
        <f>N91-L91</f>
        <v>137448.8200000003</v>
      </c>
      <c r="P91" s="103">
        <v>0</v>
      </c>
      <c r="Q91" s="163">
        <f t="shared" si="170"/>
        <v>10882842.607386</v>
      </c>
      <c r="R91" s="249">
        <f t="shared" si="135"/>
        <v>0.86710370722958874</v>
      </c>
      <c r="S91" s="145">
        <f>Z91-AE91</f>
        <v>11693179.98</v>
      </c>
      <c r="T91" s="181">
        <f t="shared" si="136"/>
        <v>0.92182931859312078</v>
      </c>
      <c r="U91" s="61">
        <f t="shared" si="171"/>
        <v>11560357.370000001</v>
      </c>
      <c r="V91" s="181">
        <f t="shared" si="137"/>
        <v>0.92108551911085812</v>
      </c>
      <c r="W91" s="140">
        <f>S91-Y91</f>
        <v>11693179.98</v>
      </c>
      <c r="X91" s="140">
        <f>S91-U91-Y91</f>
        <v>132822.6099999994</v>
      </c>
      <c r="Y91" s="111">
        <f t="shared" si="29"/>
        <v>0</v>
      </c>
      <c r="Z91" s="108">
        <f>AB91+AD91</f>
        <v>11705513.65</v>
      </c>
      <c r="AA91" s="61">
        <f>11917642.8-AA92</f>
        <v>11572691.040000001</v>
      </c>
      <c r="AB91" s="61">
        <f>AA91+AC91</f>
        <v>11705513.65</v>
      </c>
      <c r="AC91" s="61">
        <v>132822.61000000002</v>
      </c>
      <c r="AD91" s="109">
        <v>0</v>
      </c>
      <c r="AE91" s="108">
        <v>12333.67</v>
      </c>
      <c r="AF91" s="61">
        <v>12333.67</v>
      </c>
      <c r="AG91" s="61">
        <v>12333.67</v>
      </c>
      <c r="AH91" s="61">
        <v>0</v>
      </c>
      <c r="AI91" s="109">
        <v>0</v>
      </c>
      <c r="AJ91" s="122"/>
      <c r="AK91" s="111"/>
    </row>
    <row r="92" spans="1:37" s="56" customFormat="1" ht="82.5" outlineLevel="1">
      <c r="A92" s="234" t="s">
        <v>288</v>
      </c>
      <c r="B92" s="183" t="s">
        <v>220</v>
      </c>
      <c r="C92" s="182" t="s">
        <v>284</v>
      </c>
      <c r="D92" s="182" t="s">
        <v>210</v>
      </c>
      <c r="E92" s="178" t="s">
        <v>212</v>
      </c>
      <c r="F92" s="179" t="s">
        <v>183</v>
      </c>
      <c r="G92" s="61" t="s">
        <v>308</v>
      </c>
      <c r="H92" s="103" t="s">
        <v>308</v>
      </c>
      <c r="I92" s="180">
        <v>0.93069999999999997</v>
      </c>
      <c r="J92" s="221">
        <f>K92*I92</f>
        <v>335258.88530299999</v>
      </c>
      <c r="K92" s="122">
        <v>360222.29</v>
      </c>
      <c r="L92" s="61">
        <v>360222.29</v>
      </c>
      <c r="M92" s="181" t="s">
        <v>308</v>
      </c>
      <c r="N92" s="61">
        <f>K92-P92</f>
        <v>360222.29</v>
      </c>
      <c r="O92" s="61">
        <f>N92-L92</f>
        <v>0</v>
      </c>
      <c r="P92" s="103">
        <v>0</v>
      </c>
      <c r="Q92" s="163">
        <f t="shared" si="170"/>
        <v>321046.60303200019</v>
      </c>
      <c r="R92" s="249" t="s">
        <v>308</v>
      </c>
      <c r="S92" s="145">
        <f>Z92-AE92</f>
        <v>344951.76000000024</v>
      </c>
      <c r="T92" s="181" t="s">
        <v>308</v>
      </c>
      <c r="U92" s="61">
        <f>AA92-AF92</f>
        <v>344951.76000000024</v>
      </c>
      <c r="V92" s="181" t="s">
        <v>308</v>
      </c>
      <c r="W92" s="140">
        <f>S92-Y92</f>
        <v>344951.76000000024</v>
      </c>
      <c r="X92" s="140">
        <f>S92-U92-Y92</f>
        <v>0</v>
      </c>
      <c r="Y92" s="111">
        <f t="shared" ref="Y92" si="172">AD92-AI92</f>
        <v>0</v>
      </c>
      <c r="Z92" s="108">
        <v>344951.76000000024</v>
      </c>
      <c r="AA92" s="61">
        <v>344951.76000000024</v>
      </c>
      <c r="AB92" s="61">
        <v>344951.76000000024</v>
      </c>
      <c r="AC92" s="61">
        <v>0</v>
      </c>
      <c r="AD92" s="109">
        <v>0</v>
      </c>
      <c r="AE92" s="108">
        <v>0</v>
      </c>
      <c r="AF92" s="61">
        <v>0</v>
      </c>
      <c r="AG92" s="61">
        <v>0</v>
      </c>
      <c r="AH92" s="61">
        <v>0</v>
      </c>
      <c r="AI92" s="109">
        <v>0</v>
      </c>
      <c r="AJ92" s="122"/>
      <c r="AK92" s="111"/>
    </row>
    <row r="93" spans="1:37" s="28" customFormat="1" ht="49.5">
      <c r="A93" s="230" t="s">
        <v>221</v>
      </c>
      <c r="B93" s="167" t="s">
        <v>222</v>
      </c>
      <c r="C93" s="168" t="s">
        <v>283</v>
      </c>
      <c r="D93" s="168" t="s">
        <v>0</v>
      </c>
      <c r="E93" s="169"/>
      <c r="F93" s="170"/>
      <c r="G93" s="57">
        <f>G94</f>
        <v>24271094</v>
      </c>
      <c r="H93" s="57">
        <f>H94</f>
        <v>22891015</v>
      </c>
      <c r="I93" s="156">
        <v>0.94310000000000005</v>
      </c>
      <c r="J93" s="116">
        <f>J94+J95</f>
        <v>22764982.031533007</v>
      </c>
      <c r="K93" s="147">
        <f>K94+K95</f>
        <v>24138460.43</v>
      </c>
      <c r="L93" s="57">
        <f>L94+L95</f>
        <v>22719356.59</v>
      </c>
      <c r="M93" s="159">
        <f t="shared" si="134"/>
        <v>0.99250105729256655</v>
      </c>
      <c r="N93" s="59">
        <f>N94+N95</f>
        <v>23860396.050000001</v>
      </c>
      <c r="O93" s="59">
        <f t="shared" ref="O93:S93" si="173">O94+O95</f>
        <v>1141039.4599999979</v>
      </c>
      <c r="P93" s="105">
        <f t="shared" si="173"/>
        <v>278064.37999999995</v>
      </c>
      <c r="Q93" s="248">
        <f t="shared" ref="Q93" si="174">Q94+Q95</f>
        <v>21912601.640402004</v>
      </c>
      <c r="R93" s="159">
        <f t="shared" si="135"/>
        <v>0.95725775551682635</v>
      </c>
      <c r="S93" s="142">
        <f t="shared" si="173"/>
        <v>23234653.420000002</v>
      </c>
      <c r="T93" s="159">
        <f t="shared" si="136"/>
        <v>0.95729732742990492</v>
      </c>
      <c r="U93" s="57">
        <f>U94+U95</f>
        <v>21904177.75</v>
      </c>
      <c r="V93" s="159">
        <f t="shared" si="137"/>
        <v>0.9568897556530368</v>
      </c>
      <c r="W93" s="57">
        <f>W94+W95</f>
        <v>22971081.32</v>
      </c>
      <c r="X93" s="57">
        <f t="shared" ref="X93:AI93" si="175">X94+X95</f>
        <v>1066903.5700000003</v>
      </c>
      <c r="Y93" s="117">
        <f t="shared" si="175"/>
        <v>263572.09999999992</v>
      </c>
      <c r="Z93" s="147">
        <f t="shared" si="175"/>
        <v>23380699.300000001</v>
      </c>
      <c r="AA93" s="57">
        <f t="shared" si="175"/>
        <v>22034278.260000002</v>
      </c>
      <c r="AB93" s="57">
        <f t="shared" si="175"/>
        <v>23115421.760000002</v>
      </c>
      <c r="AC93" s="57">
        <f t="shared" si="175"/>
        <v>1081143.5000000002</v>
      </c>
      <c r="AD93" s="117">
        <f t="shared" si="175"/>
        <v>265277.53999999992</v>
      </c>
      <c r="AE93" s="147">
        <f t="shared" si="175"/>
        <v>146045.88</v>
      </c>
      <c r="AF93" s="57">
        <f t="shared" si="175"/>
        <v>130100.51</v>
      </c>
      <c r="AG93" s="57">
        <f t="shared" si="175"/>
        <v>144340.44</v>
      </c>
      <c r="AH93" s="57">
        <f t="shared" si="175"/>
        <v>14239.929999999998</v>
      </c>
      <c r="AI93" s="117">
        <f t="shared" si="175"/>
        <v>1705.44</v>
      </c>
      <c r="AJ93" s="125">
        <v>16148654.880000001</v>
      </c>
      <c r="AK93" s="238">
        <f>AJ93/H93</f>
        <v>0.7054582280427496</v>
      </c>
    </row>
    <row r="94" spans="1:37" s="28" customFormat="1" ht="49.5">
      <c r="A94" s="230" t="s">
        <v>221</v>
      </c>
      <c r="B94" s="167" t="s">
        <v>222</v>
      </c>
      <c r="C94" s="168" t="s">
        <v>89</v>
      </c>
      <c r="D94" s="168" t="s">
        <v>0</v>
      </c>
      <c r="E94" s="169"/>
      <c r="F94" s="204"/>
      <c r="G94" s="57">
        <f t="shared" ref="G94:H94" si="176">G97+G107+G113</f>
        <v>24271094</v>
      </c>
      <c r="H94" s="57">
        <f t="shared" si="176"/>
        <v>22891015</v>
      </c>
      <c r="I94" s="156">
        <v>0.94310000000000005</v>
      </c>
      <c r="J94" s="116">
        <f>J97+J107+J113</f>
        <v>22678825.461118005</v>
      </c>
      <c r="K94" s="147">
        <f>K97+K107+K113</f>
        <v>24047105.780000001</v>
      </c>
      <c r="L94" s="57">
        <f t="shared" ref="L94:AI94" si="177">L97+L107+L113</f>
        <v>22628001.940000001</v>
      </c>
      <c r="M94" s="159">
        <f t="shared" si="134"/>
        <v>0.98851020542339429</v>
      </c>
      <c r="N94" s="57">
        <f t="shared" si="177"/>
        <v>23769041.400000002</v>
      </c>
      <c r="O94" s="57">
        <f t="shared" si="177"/>
        <v>1141039.4599999979</v>
      </c>
      <c r="P94" s="106">
        <f t="shared" si="177"/>
        <v>278064.37999999995</v>
      </c>
      <c r="Q94" s="166">
        <f t="shared" ref="Q94" si="178">Q97+Q107+Q113</f>
        <v>21826657.729606003</v>
      </c>
      <c r="R94" s="159">
        <f t="shared" si="135"/>
        <v>0.95350327321029682</v>
      </c>
      <c r="S94" s="147">
        <f t="shared" si="177"/>
        <v>23143524.260000002</v>
      </c>
      <c r="T94" s="159">
        <f t="shared" si="136"/>
        <v>0.9535426899174797</v>
      </c>
      <c r="U94" s="57">
        <f t="shared" si="177"/>
        <v>21813048.59</v>
      </c>
      <c r="V94" s="159">
        <f t="shared" si="137"/>
        <v>0.95290875437371392</v>
      </c>
      <c r="W94" s="57">
        <f t="shared" si="177"/>
        <v>22879952.16</v>
      </c>
      <c r="X94" s="57">
        <f t="shared" si="177"/>
        <v>1066903.5700000003</v>
      </c>
      <c r="Y94" s="117">
        <f t="shared" si="177"/>
        <v>263572.09999999992</v>
      </c>
      <c r="Z94" s="147">
        <f t="shared" si="177"/>
        <v>23289570.140000001</v>
      </c>
      <c r="AA94" s="57">
        <f t="shared" si="177"/>
        <v>21943149.100000001</v>
      </c>
      <c r="AB94" s="57">
        <f t="shared" si="177"/>
        <v>23024292.600000001</v>
      </c>
      <c r="AC94" s="57">
        <f t="shared" si="177"/>
        <v>1081143.5000000002</v>
      </c>
      <c r="AD94" s="117">
        <f t="shared" si="177"/>
        <v>265277.53999999992</v>
      </c>
      <c r="AE94" s="147">
        <f t="shared" si="177"/>
        <v>146045.88</v>
      </c>
      <c r="AF94" s="57">
        <f t="shared" si="177"/>
        <v>130100.51</v>
      </c>
      <c r="AG94" s="57">
        <f t="shared" si="177"/>
        <v>144340.44</v>
      </c>
      <c r="AH94" s="57">
        <f t="shared" si="177"/>
        <v>14239.929999999998</v>
      </c>
      <c r="AI94" s="117">
        <f t="shared" si="177"/>
        <v>1705.44</v>
      </c>
      <c r="AJ94" s="125"/>
      <c r="AK94" s="238"/>
    </row>
    <row r="95" spans="1:37" s="28" customFormat="1" ht="49.5">
      <c r="A95" s="230" t="s">
        <v>221</v>
      </c>
      <c r="B95" s="167" t="s">
        <v>222</v>
      </c>
      <c r="C95" s="168" t="s">
        <v>284</v>
      </c>
      <c r="D95" s="168" t="s">
        <v>0</v>
      </c>
      <c r="E95" s="169"/>
      <c r="F95" s="204"/>
      <c r="G95" s="57" t="str">
        <f t="shared" ref="G95:H95" si="179">G98</f>
        <v>n/a</v>
      </c>
      <c r="H95" s="57" t="str">
        <f t="shared" si="179"/>
        <v>n/a</v>
      </c>
      <c r="I95" s="156">
        <v>0.94310000000000005</v>
      </c>
      <c r="J95" s="116">
        <f>J98</f>
        <v>86156.570414999995</v>
      </c>
      <c r="K95" s="147">
        <f>K98</f>
        <v>91354.65</v>
      </c>
      <c r="L95" s="57">
        <f t="shared" ref="L95:AI95" si="180">L98</f>
        <v>91354.65</v>
      </c>
      <c r="M95" s="159" t="s">
        <v>308</v>
      </c>
      <c r="N95" s="57">
        <f t="shared" si="180"/>
        <v>91354.65</v>
      </c>
      <c r="O95" s="57">
        <f t="shared" si="180"/>
        <v>0</v>
      </c>
      <c r="P95" s="106">
        <f t="shared" si="180"/>
        <v>0</v>
      </c>
      <c r="Q95" s="166">
        <f t="shared" ref="Q95" si="181">Q98</f>
        <v>85943.910796000011</v>
      </c>
      <c r="R95" s="159" t="s">
        <v>308</v>
      </c>
      <c r="S95" s="147">
        <f t="shared" si="180"/>
        <v>91129.16</v>
      </c>
      <c r="T95" s="159" t="s">
        <v>308</v>
      </c>
      <c r="U95" s="57">
        <f t="shared" si="180"/>
        <v>91129.16</v>
      </c>
      <c r="V95" s="159" t="s">
        <v>308</v>
      </c>
      <c r="W95" s="57">
        <f t="shared" si="180"/>
        <v>91129.16</v>
      </c>
      <c r="X95" s="57">
        <f t="shared" si="180"/>
        <v>0</v>
      </c>
      <c r="Y95" s="117">
        <f t="shared" si="180"/>
        <v>0</v>
      </c>
      <c r="Z95" s="147">
        <f t="shared" si="180"/>
        <v>91129.16</v>
      </c>
      <c r="AA95" s="57">
        <f t="shared" si="180"/>
        <v>91129.16</v>
      </c>
      <c r="AB95" s="57">
        <f t="shared" si="180"/>
        <v>91129.16</v>
      </c>
      <c r="AC95" s="57">
        <f t="shared" si="180"/>
        <v>0</v>
      </c>
      <c r="AD95" s="117">
        <f t="shared" si="180"/>
        <v>0</v>
      </c>
      <c r="AE95" s="147">
        <f t="shared" si="180"/>
        <v>0</v>
      </c>
      <c r="AF95" s="57">
        <f t="shared" si="180"/>
        <v>0</v>
      </c>
      <c r="AG95" s="57">
        <f t="shared" si="180"/>
        <v>0</v>
      </c>
      <c r="AH95" s="57">
        <f t="shared" si="180"/>
        <v>0</v>
      </c>
      <c r="AI95" s="117">
        <f t="shared" si="180"/>
        <v>0</v>
      </c>
      <c r="AJ95" s="125"/>
      <c r="AK95" s="238"/>
    </row>
    <row r="96" spans="1:37" s="32" customFormat="1" ht="60.75" customHeight="1">
      <c r="A96" s="232" t="s">
        <v>223</v>
      </c>
      <c r="B96" s="171" t="s">
        <v>224</v>
      </c>
      <c r="C96" s="172" t="s">
        <v>283</v>
      </c>
      <c r="D96" s="172" t="s">
        <v>0</v>
      </c>
      <c r="E96" s="173"/>
      <c r="F96" s="205"/>
      <c r="G96" s="60">
        <f>G97</f>
        <v>8590754</v>
      </c>
      <c r="H96" s="60">
        <f>H97</f>
        <v>7958496</v>
      </c>
      <c r="I96" s="208">
        <v>0.94310000000000005</v>
      </c>
      <c r="J96" s="118">
        <f>J97+J98</f>
        <v>7852823.4672330013</v>
      </c>
      <c r="K96" s="143">
        <f>K97+K98</f>
        <v>8326607.4300000006</v>
      </c>
      <c r="L96" s="60">
        <f>L97+L98</f>
        <v>7711662.4200000018</v>
      </c>
      <c r="M96" s="175">
        <f t="shared" si="134"/>
        <v>0.96898489614118066</v>
      </c>
      <c r="N96" s="60">
        <f>N97+N98</f>
        <v>8326607.4300000006</v>
      </c>
      <c r="O96" s="60">
        <f>O97+O98</f>
        <v>614945.00999999885</v>
      </c>
      <c r="P96" s="107">
        <f>P97+P98</f>
        <v>0</v>
      </c>
      <c r="Q96" s="165">
        <f>Q97+Q98</f>
        <v>7777912.4966660002</v>
      </c>
      <c r="R96" s="175">
        <f t="shared" si="135"/>
        <v>0.97730934295449801</v>
      </c>
      <c r="S96" s="143">
        <f>S97+S98</f>
        <v>8247176.8600000003</v>
      </c>
      <c r="T96" s="175">
        <f t="shared" si="136"/>
        <v>0.96000617175162972</v>
      </c>
      <c r="U96" s="60">
        <f>U97+U98</f>
        <v>7643489.6700000009</v>
      </c>
      <c r="V96" s="175">
        <f t="shared" si="137"/>
        <v>0.96041886180504465</v>
      </c>
      <c r="W96" s="60">
        <f>W97+W98</f>
        <v>8247176.8600000003</v>
      </c>
      <c r="X96" s="60">
        <f t="shared" ref="X96:AI96" si="182">X97+X98</f>
        <v>603687.18999999994</v>
      </c>
      <c r="Y96" s="119">
        <f t="shared" si="182"/>
        <v>0</v>
      </c>
      <c r="Z96" s="143">
        <f t="shared" si="182"/>
        <v>8250962.5300000003</v>
      </c>
      <c r="AA96" s="60">
        <f t="shared" si="182"/>
        <v>7646867.3499999996</v>
      </c>
      <c r="AB96" s="60">
        <f t="shared" si="182"/>
        <v>8250962.5300000003</v>
      </c>
      <c r="AC96" s="60">
        <f t="shared" si="182"/>
        <v>604095.18000000005</v>
      </c>
      <c r="AD96" s="119">
        <f t="shared" si="182"/>
        <v>0</v>
      </c>
      <c r="AE96" s="143">
        <f t="shared" si="182"/>
        <v>3785.67</v>
      </c>
      <c r="AF96" s="60">
        <f t="shared" si="182"/>
        <v>3377.68</v>
      </c>
      <c r="AG96" s="60">
        <f t="shared" si="182"/>
        <v>3785.67</v>
      </c>
      <c r="AH96" s="60">
        <f t="shared" si="182"/>
        <v>407.99</v>
      </c>
      <c r="AI96" s="119">
        <f t="shared" si="182"/>
        <v>0</v>
      </c>
      <c r="AJ96" s="121"/>
      <c r="AK96" s="119"/>
    </row>
    <row r="97" spans="1:37" s="32" customFormat="1" ht="33">
      <c r="A97" s="232" t="s">
        <v>223</v>
      </c>
      <c r="B97" s="171" t="s">
        <v>224</v>
      </c>
      <c r="C97" s="172" t="s">
        <v>89</v>
      </c>
      <c r="D97" s="172" t="s">
        <v>0</v>
      </c>
      <c r="E97" s="173"/>
      <c r="F97" s="205"/>
      <c r="G97" s="60">
        <f t="shared" ref="G97:H97" si="183">G100+G102+G103+G104</f>
        <v>8590754</v>
      </c>
      <c r="H97" s="60">
        <f t="shared" si="183"/>
        <v>7958496</v>
      </c>
      <c r="I97" s="208">
        <v>0.94310000000000005</v>
      </c>
      <c r="J97" s="118">
        <f>J100+J102+J103+J104</f>
        <v>7766666.8968180008</v>
      </c>
      <c r="K97" s="143">
        <f>K100+K102+K103+K104</f>
        <v>8235252.7800000003</v>
      </c>
      <c r="L97" s="60">
        <f>L100+L102+L103+L104</f>
        <v>7620307.7700000014</v>
      </c>
      <c r="M97" s="175">
        <f t="shared" si="134"/>
        <v>0.95750601244255218</v>
      </c>
      <c r="N97" s="60">
        <f t="shared" ref="N97:AI97" si="184">N100+N102+N103+N104</f>
        <v>8235252.7800000003</v>
      </c>
      <c r="O97" s="60">
        <f t="shared" si="184"/>
        <v>614945.00999999885</v>
      </c>
      <c r="P97" s="107">
        <f t="shared" si="184"/>
        <v>0</v>
      </c>
      <c r="Q97" s="165">
        <f>Q100+Q102+Q103+Q104</f>
        <v>7691968.5858700005</v>
      </c>
      <c r="R97" s="175">
        <f t="shared" si="135"/>
        <v>0.96651032881966648</v>
      </c>
      <c r="S97" s="143">
        <f>S100+S102+S103+S104</f>
        <v>8156047.7000000002</v>
      </c>
      <c r="T97" s="175">
        <f t="shared" si="136"/>
        <v>0.94939835315968779</v>
      </c>
      <c r="U97" s="60">
        <f t="shared" si="184"/>
        <v>7552360.5100000007</v>
      </c>
      <c r="V97" s="175">
        <f t="shared" si="137"/>
        <v>0.94896831134928017</v>
      </c>
      <c r="W97" s="60">
        <f t="shared" si="184"/>
        <v>8156047.7000000002</v>
      </c>
      <c r="X97" s="60">
        <f t="shared" si="184"/>
        <v>603687.18999999994</v>
      </c>
      <c r="Y97" s="119">
        <f t="shared" si="184"/>
        <v>0</v>
      </c>
      <c r="Z97" s="165">
        <f t="shared" si="184"/>
        <v>8159833.3700000001</v>
      </c>
      <c r="AA97" s="60">
        <f t="shared" si="184"/>
        <v>7555738.1899999995</v>
      </c>
      <c r="AB97" s="60">
        <f t="shared" si="184"/>
        <v>8159833.3700000001</v>
      </c>
      <c r="AC97" s="60">
        <f t="shared" si="184"/>
        <v>604095.18000000005</v>
      </c>
      <c r="AD97" s="119">
        <f t="shared" si="184"/>
        <v>0</v>
      </c>
      <c r="AE97" s="143">
        <f t="shared" si="184"/>
        <v>3785.67</v>
      </c>
      <c r="AF97" s="60">
        <f t="shared" si="184"/>
        <v>3377.68</v>
      </c>
      <c r="AG97" s="60">
        <f t="shared" si="184"/>
        <v>3785.67</v>
      </c>
      <c r="AH97" s="60">
        <f t="shared" si="184"/>
        <v>407.99</v>
      </c>
      <c r="AI97" s="119">
        <f t="shared" si="184"/>
        <v>0</v>
      </c>
      <c r="AJ97" s="121"/>
      <c r="AK97" s="119"/>
    </row>
    <row r="98" spans="1:37" s="32" customFormat="1" ht="33">
      <c r="A98" s="232" t="s">
        <v>223</v>
      </c>
      <c r="B98" s="171" t="s">
        <v>224</v>
      </c>
      <c r="C98" s="172" t="s">
        <v>284</v>
      </c>
      <c r="D98" s="172" t="s">
        <v>0</v>
      </c>
      <c r="E98" s="173"/>
      <c r="F98" s="205"/>
      <c r="G98" s="60" t="str">
        <f t="shared" ref="G98:H98" si="185">G101</f>
        <v>n/a</v>
      </c>
      <c r="H98" s="60" t="str">
        <f t="shared" si="185"/>
        <v>n/a</v>
      </c>
      <c r="I98" s="208">
        <v>0.94310000000000005</v>
      </c>
      <c r="J98" s="118">
        <f>J101</f>
        <v>86156.570414999995</v>
      </c>
      <c r="K98" s="143">
        <f>K101</f>
        <v>91354.65</v>
      </c>
      <c r="L98" s="60">
        <f>L101</f>
        <v>91354.65</v>
      </c>
      <c r="M98" s="175" t="s">
        <v>308</v>
      </c>
      <c r="N98" s="60">
        <f t="shared" ref="N98:Y98" si="186">N101</f>
        <v>91354.65</v>
      </c>
      <c r="O98" s="60">
        <f t="shared" si="186"/>
        <v>0</v>
      </c>
      <c r="P98" s="107">
        <f t="shared" si="186"/>
        <v>0</v>
      </c>
      <c r="Q98" s="165">
        <f>Q101</f>
        <v>85943.910796000011</v>
      </c>
      <c r="R98" s="175" t="s">
        <v>308</v>
      </c>
      <c r="S98" s="143">
        <f>S101</f>
        <v>91129.16</v>
      </c>
      <c r="T98" s="175" t="s">
        <v>308</v>
      </c>
      <c r="U98" s="60">
        <f t="shared" si="186"/>
        <v>91129.16</v>
      </c>
      <c r="V98" s="175" t="s">
        <v>308</v>
      </c>
      <c r="W98" s="60">
        <f t="shared" si="186"/>
        <v>91129.16</v>
      </c>
      <c r="X98" s="60">
        <f t="shared" si="186"/>
        <v>0</v>
      </c>
      <c r="Y98" s="119">
        <f t="shared" si="186"/>
        <v>0</v>
      </c>
      <c r="Z98" s="165">
        <f>Z101</f>
        <v>91129.16</v>
      </c>
      <c r="AA98" s="60">
        <f t="shared" ref="AA98:AI98" si="187">AA101</f>
        <v>91129.16</v>
      </c>
      <c r="AB98" s="60">
        <f t="shared" si="187"/>
        <v>91129.16</v>
      </c>
      <c r="AC98" s="60">
        <f t="shared" si="187"/>
        <v>0</v>
      </c>
      <c r="AD98" s="119">
        <f t="shared" si="187"/>
        <v>0</v>
      </c>
      <c r="AE98" s="143">
        <f t="shared" si="187"/>
        <v>0</v>
      </c>
      <c r="AF98" s="60">
        <f t="shared" si="187"/>
        <v>0</v>
      </c>
      <c r="AG98" s="60">
        <f t="shared" si="187"/>
        <v>0</v>
      </c>
      <c r="AH98" s="60">
        <f t="shared" si="187"/>
        <v>0</v>
      </c>
      <c r="AI98" s="119">
        <f t="shared" si="187"/>
        <v>0</v>
      </c>
      <c r="AJ98" s="121"/>
      <c r="AK98" s="119"/>
    </row>
    <row r="99" spans="1:37" s="56" customFormat="1" ht="66" outlineLevel="1">
      <c r="A99" s="236" t="s">
        <v>225</v>
      </c>
      <c r="B99" s="176" t="s">
        <v>226</v>
      </c>
      <c r="C99" s="177" t="s">
        <v>89</v>
      </c>
      <c r="D99" s="177" t="s">
        <v>0</v>
      </c>
      <c r="E99" s="178"/>
      <c r="F99" s="179"/>
      <c r="G99" s="61">
        <f>SUM(G100:G102)</f>
        <v>4375699</v>
      </c>
      <c r="H99" s="103">
        <f t="shared" ref="H99" si="188">SUM(H100:H102)</f>
        <v>4375699</v>
      </c>
      <c r="I99" s="180">
        <v>0.94310000000000005</v>
      </c>
      <c r="J99" s="110">
        <f>SUM(J100:J102)</f>
        <v>3986458.6229710006</v>
      </c>
      <c r="K99" s="122">
        <f>SUM(K100:K102)</f>
        <v>4226973.41</v>
      </c>
      <c r="L99" s="122">
        <f>SUM(L100:L102)</f>
        <v>4226973.41</v>
      </c>
      <c r="M99" s="181">
        <f t="shared" si="134"/>
        <v>0.96601100989807576</v>
      </c>
      <c r="N99" s="61">
        <f>SUM(N100:N102)</f>
        <v>4226973.41</v>
      </c>
      <c r="O99" s="61">
        <f>SUM(O100:O102)</f>
        <v>0</v>
      </c>
      <c r="P99" s="102">
        <f>SUM(P100:P102)</f>
        <v>0</v>
      </c>
      <c r="Q99" s="188">
        <f>SUM(Q100:Q102)</f>
        <v>3982329.750033</v>
      </c>
      <c r="R99" s="249">
        <f t="shared" si="135"/>
        <v>0.91010139180802885</v>
      </c>
      <c r="S99" s="145">
        <f>SUM(S100:S102)</f>
        <v>4222595.43</v>
      </c>
      <c r="T99" s="181">
        <f t="shared" si="136"/>
        <v>0.96501048860993399</v>
      </c>
      <c r="U99" s="65">
        <f>SUM(U100:U102)</f>
        <v>4222595.43</v>
      </c>
      <c r="V99" s="181">
        <f t="shared" si="137"/>
        <v>0.96501048860993399</v>
      </c>
      <c r="W99" s="65">
        <f>SUM(W100:W102)</f>
        <v>4222595.43</v>
      </c>
      <c r="X99" s="65">
        <f>SUM(X100:X102)</f>
        <v>0</v>
      </c>
      <c r="Y99" s="111">
        <f t="shared" ref="Y99" si="189">SUM(Y100:Y102)</f>
        <v>0</v>
      </c>
      <c r="Z99" s="108">
        <f>SUM(Z100:Z102)</f>
        <v>4223661.1399999997</v>
      </c>
      <c r="AA99" s="61">
        <f>SUM(AA100:AA102)</f>
        <v>4223661.1399999997</v>
      </c>
      <c r="AB99" s="61">
        <f>SUM(AB100:AB102)</f>
        <v>4223661.1399999997</v>
      </c>
      <c r="AC99" s="61">
        <f t="shared" ref="AC99:AI99" si="190">SUM(AC100:AC102)</f>
        <v>0</v>
      </c>
      <c r="AD99" s="109">
        <f t="shared" si="190"/>
        <v>0</v>
      </c>
      <c r="AE99" s="108">
        <f t="shared" si="190"/>
        <v>1065.71</v>
      </c>
      <c r="AF99" s="61">
        <f t="shared" si="190"/>
        <v>1065.71</v>
      </c>
      <c r="AG99" s="61">
        <f t="shared" si="190"/>
        <v>1065.71</v>
      </c>
      <c r="AH99" s="61">
        <f t="shared" si="190"/>
        <v>0</v>
      </c>
      <c r="AI99" s="109">
        <f t="shared" si="190"/>
        <v>0</v>
      </c>
      <c r="AJ99" s="122"/>
      <c r="AK99" s="111"/>
    </row>
    <row r="100" spans="1:37" s="56" customFormat="1" ht="99" outlineLevel="1">
      <c r="A100" s="234" t="s">
        <v>289</v>
      </c>
      <c r="B100" s="183" t="s">
        <v>227</v>
      </c>
      <c r="C100" s="182" t="s">
        <v>89</v>
      </c>
      <c r="D100" s="182" t="s">
        <v>228</v>
      </c>
      <c r="E100" s="178"/>
      <c r="F100" s="179"/>
      <c r="G100" s="61">
        <v>4375699</v>
      </c>
      <c r="H100" s="103">
        <v>4375699</v>
      </c>
      <c r="I100" s="180">
        <v>0.94310000000000005</v>
      </c>
      <c r="J100" s="221">
        <f>K100*I100</f>
        <v>3900302.0525560006</v>
      </c>
      <c r="K100" s="122">
        <f>4226973.41-K101</f>
        <v>4135618.7600000002</v>
      </c>
      <c r="L100" s="61">
        <f>4226973.41-L101</f>
        <v>4135618.7600000002</v>
      </c>
      <c r="M100" s="181">
        <f t="shared" si="134"/>
        <v>0.94513328270523189</v>
      </c>
      <c r="N100" s="61">
        <f>K100-P100</f>
        <v>4135618.7600000002</v>
      </c>
      <c r="O100" s="61">
        <f>N100-L100</f>
        <v>0</v>
      </c>
      <c r="P100" s="103">
        <v>0</v>
      </c>
      <c r="Q100" s="188">
        <f>S100*I100</f>
        <v>3896385.8392369999</v>
      </c>
      <c r="R100" s="249">
        <f t="shared" si="135"/>
        <v>0.89046020744045695</v>
      </c>
      <c r="S100" s="145">
        <f>Z100-AE100</f>
        <v>4131466.2699999996</v>
      </c>
      <c r="T100" s="181">
        <f t="shared" si="136"/>
        <v>0.94418429375512336</v>
      </c>
      <c r="U100" s="61">
        <f>AA100-AF100</f>
        <v>4131466.2699999996</v>
      </c>
      <c r="V100" s="181">
        <f t="shared" si="137"/>
        <v>0.94418429375512336</v>
      </c>
      <c r="W100" s="140">
        <f>S100-Y100</f>
        <v>4131466.2699999996</v>
      </c>
      <c r="X100" s="140">
        <f>S100-U100-Y100</f>
        <v>0</v>
      </c>
      <c r="Y100" s="111">
        <f t="shared" ref="Y100:Y118" si="191">AD100-AI100</f>
        <v>0</v>
      </c>
      <c r="Z100" s="108">
        <f>AB100+AD100</f>
        <v>4132531.9799999995</v>
      </c>
      <c r="AA100" s="61">
        <f>4223661.14-AA101</f>
        <v>4132531.9799999995</v>
      </c>
      <c r="AB100" s="61">
        <f>AA100+AC100</f>
        <v>4132531.9799999995</v>
      </c>
      <c r="AC100" s="61">
        <v>0</v>
      </c>
      <c r="AD100" s="109">
        <v>0</v>
      </c>
      <c r="AE100" s="108">
        <f>0+1065.71</f>
        <v>1065.71</v>
      </c>
      <c r="AF100" s="61">
        <v>1065.71</v>
      </c>
      <c r="AG100" s="61">
        <v>1065.71</v>
      </c>
      <c r="AH100" s="61">
        <v>0</v>
      </c>
      <c r="AI100" s="109">
        <v>0</v>
      </c>
      <c r="AJ100" s="122"/>
      <c r="AK100" s="111"/>
    </row>
    <row r="101" spans="1:37" s="56" customFormat="1" ht="99" outlineLevel="1">
      <c r="A101" s="234" t="s">
        <v>289</v>
      </c>
      <c r="B101" s="183" t="s">
        <v>227</v>
      </c>
      <c r="C101" s="182" t="s">
        <v>284</v>
      </c>
      <c r="D101" s="182" t="s">
        <v>228</v>
      </c>
      <c r="E101" s="178"/>
      <c r="F101" s="179"/>
      <c r="G101" s="61" t="s">
        <v>308</v>
      </c>
      <c r="H101" s="103" t="s">
        <v>308</v>
      </c>
      <c r="I101" s="180">
        <v>0.94310000000000005</v>
      </c>
      <c r="J101" s="221">
        <f>K101*I101</f>
        <v>86156.570414999995</v>
      </c>
      <c r="K101" s="122">
        <v>91354.65</v>
      </c>
      <c r="L101" s="61">
        <v>91354.65</v>
      </c>
      <c r="M101" s="181" t="s">
        <v>308</v>
      </c>
      <c r="N101" s="61">
        <f>K101-P101</f>
        <v>91354.65</v>
      </c>
      <c r="O101" s="61">
        <f>N101-L101</f>
        <v>0</v>
      </c>
      <c r="P101" s="103">
        <v>0</v>
      </c>
      <c r="Q101" s="188">
        <f>S101*I101</f>
        <v>85943.910796000011</v>
      </c>
      <c r="R101" s="249" t="s">
        <v>308</v>
      </c>
      <c r="S101" s="145">
        <f t="shared" si="157"/>
        <v>91129.16</v>
      </c>
      <c r="T101" s="181" t="s">
        <v>308</v>
      </c>
      <c r="U101" s="61">
        <f t="shared" ref="U101:U103" si="192">AA101-AF101</f>
        <v>91129.16</v>
      </c>
      <c r="V101" s="181" t="s">
        <v>308</v>
      </c>
      <c r="W101" s="140">
        <f>S101-Y101</f>
        <v>91129.16</v>
      </c>
      <c r="X101" s="140">
        <f>S101-U101-Y101</f>
        <v>0</v>
      </c>
      <c r="Y101" s="111">
        <f t="shared" ref="Y101" si="193">AD101-AI101</f>
        <v>0</v>
      </c>
      <c r="Z101" s="108">
        <v>91129.16</v>
      </c>
      <c r="AA101" s="61">
        <v>91129.16</v>
      </c>
      <c r="AB101" s="61">
        <v>91129.16</v>
      </c>
      <c r="AC101" s="61">
        <v>0</v>
      </c>
      <c r="AD101" s="109">
        <v>0</v>
      </c>
      <c r="AE101" s="108">
        <v>0</v>
      </c>
      <c r="AF101" s="61">
        <v>0</v>
      </c>
      <c r="AG101" s="61">
        <v>0</v>
      </c>
      <c r="AH101" s="61">
        <v>0</v>
      </c>
      <c r="AI101" s="109">
        <v>0</v>
      </c>
      <c r="AJ101" s="122"/>
      <c r="AK101" s="111"/>
    </row>
    <row r="102" spans="1:37" ht="49.5" outlineLevel="1">
      <c r="A102" s="234" t="s">
        <v>229</v>
      </c>
      <c r="B102" s="183" t="s">
        <v>230</v>
      </c>
      <c r="C102" s="182" t="s">
        <v>89</v>
      </c>
      <c r="D102" s="182" t="s">
        <v>231</v>
      </c>
      <c r="E102" s="178"/>
      <c r="F102" s="179"/>
      <c r="G102" s="61">
        <v>0</v>
      </c>
      <c r="H102" s="103">
        <v>0</v>
      </c>
      <c r="I102" s="180">
        <v>0.94310000000000005</v>
      </c>
      <c r="J102" s="221">
        <v>0</v>
      </c>
      <c r="K102" s="122">
        <v>0</v>
      </c>
      <c r="L102" s="61">
        <f>K102*I102</f>
        <v>0</v>
      </c>
      <c r="M102" s="181">
        <v>0</v>
      </c>
      <c r="N102" s="61">
        <f t="shared" ref="N102:N118" si="194">K102-P102</f>
        <v>0</v>
      </c>
      <c r="O102" s="61">
        <f t="shared" ref="O102:O118" si="195">N102-L102</f>
        <v>0</v>
      </c>
      <c r="P102" s="103">
        <v>0</v>
      </c>
      <c r="Q102" s="188">
        <f t="shared" ref="Q102" si="196">S102*I102</f>
        <v>0</v>
      </c>
      <c r="R102" s="249">
        <v>0</v>
      </c>
      <c r="S102" s="145">
        <f t="shared" si="157"/>
        <v>0</v>
      </c>
      <c r="T102" s="181">
        <v>0</v>
      </c>
      <c r="U102" s="61">
        <f t="shared" si="192"/>
        <v>0</v>
      </c>
      <c r="V102" s="181">
        <v>0</v>
      </c>
      <c r="W102" s="140">
        <f>S102-Y102</f>
        <v>0</v>
      </c>
      <c r="X102" s="140">
        <f>S102-U102-Y102</f>
        <v>0</v>
      </c>
      <c r="Y102" s="111">
        <f t="shared" si="191"/>
        <v>0</v>
      </c>
      <c r="Z102" s="108">
        <v>0</v>
      </c>
      <c r="AA102" s="61">
        <v>0</v>
      </c>
      <c r="AB102" s="61">
        <v>0</v>
      </c>
      <c r="AC102" s="61">
        <v>0</v>
      </c>
      <c r="AD102" s="109">
        <v>0</v>
      </c>
      <c r="AE102" s="108">
        <v>0</v>
      </c>
      <c r="AF102" s="61">
        <v>0</v>
      </c>
      <c r="AG102" s="61">
        <v>0</v>
      </c>
      <c r="AH102" s="61">
        <v>0</v>
      </c>
      <c r="AI102" s="109">
        <v>0</v>
      </c>
      <c r="AJ102" s="122"/>
      <c r="AK102" s="111"/>
    </row>
    <row r="103" spans="1:37" ht="82.5" outlineLevel="1">
      <c r="A103" s="234" t="s">
        <v>232</v>
      </c>
      <c r="B103" s="183" t="s">
        <v>233</v>
      </c>
      <c r="C103" s="182" t="s">
        <v>89</v>
      </c>
      <c r="D103" s="182" t="s">
        <v>231</v>
      </c>
      <c r="E103" s="178"/>
      <c r="F103" s="179"/>
      <c r="G103" s="61">
        <v>2884905</v>
      </c>
      <c r="H103" s="103">
        <v>2452170</v>
      </c>
      <c r="I103" s="180">
        <v>0.94310000000000005</v>
      </c>
      <c r="J103" s="221">
        <f>K103*I103</f>
        <v>2564982.5217570001</v>
      </c>
      <c r="K103" s="122">
        <v>2719735.47</v>
      </c>
      <c r="L103" s="61">
        <v>2311775.1400000011</v>
      </c>
      <c r="M103" s="181">
        <f t="shared" ref="M103:M118" si="197">L103/H103</f>
        <v>0.94274668558868313</v>
      </c>
      <c r="N103" s="61">
        <f t="shared" si="194"/>
        <v>2719735.47</v>
      </c>
      <c r="O103" s="61">
        <f t="shared" si="195"/>
        <v>407960.32999999914</v>
      </c>
      <c r="P103" s="103">
        <v>0</v>
      </c>
      <c r="Q103" s="188">
        <f>S103*I103</f>
        <v>2563823.6499080006</v>
      </c>
      <c r="R103" s="249">
        <f t="shared" si="135"/>
        <v>1.0455325894648415</v>
      </c>
      <c r="S103" s="145">
        <f>Z103-AE103</f>
        <v>2718506.6800000006</v>
      </c>
      <c r="T103" s="181">
        <f t="shared" ref="T103:T118" si="198">S103/G103</f>
        <v>0.94232104003424744</v>
      </c>
      <c r="U103" s="61">
        <f t="shared" si="192"/>
        <v>2310730.7000000007</v>
      </c>
      <c r="V103" s="181">
        <f t="shared" ref="V103:V118" si="199">U103/H103</f>
        <v>0.9423207607955405</v>
      </c>
      <c r="W103" s="140">
        <f>S103-Y103</f>
        <v>2718506.6800000006</v>
      </c>
      <c r="X103" s="140">
        <f>S103-U103-Y103</f>
        <v>407775.98</v>
      </c>
      <c r="Y103" s="111">
        <f t="shared" si="191"/>
        <v>0</v>
      </c>
      <c r="Z103" s="108">
        <v>2718506.6800000006</v>
      </c>
      <c r="AA103" s="61">
        <v>2310730.7000000007</v>
      </c>
      <c r="AB103" s="61">
        <v>2718506.6800000006</v>
      </c>
      <c r="AC103" s="61">
        <v>407775.98000000004</v>
      </c>
      <c r="AD103" s="109">
        <v>0</v>
      </c>
      <c r="AE103" s="108">
        <v>0</v>
      </c>
      <c r="AF103" s="61">
        <v>0</v>
      </c>
      <c r="AG103" s="61">
        <v>0</v>
      </c>
      <c r="AH103" s="61">
        <v>0</v>
      </c>
      <c r="AI103" s="109">
        <v>0</v>
      </c>
      <c r="AJ103" s="122"/>
      <c r="AK103" s="111"/>
    </row>
    <row r="104" spans="1:37" s="28" customFormat="1" ht="99" outlineLevel="1">
      <c r="A104" s="236" t="s">
        <v>234</v>
      </c>
      <c r="B104" s="176" t="s">
        <v>235</v>
      </c>
      <c r="C104" s="177" t="s">
        <v>89</v>
      </c>
      <c r="D104" s="177" t="s">
        <v>231</v>
      </c>
      <c r="E104" s="178"/>
      <c r="F104" s="179"/>
      <c r="G104" s="65">
        <f t="shared" ref="G104:H104" si="200">SUM(G105:G106)</f>
        <v>1330150</v>
      </c>
      <c r="H104" s="103">
        <f t="shared" si="200"/>
        <v>1130627</v>
      </c>
      <c r="I104" s="180">
        <v>0.94310000000000005</v>
      </c>
      <c r="J104" s="110">
        <f>SUM(J105:J106)</f>
        <v>1301382.322505</v>
      </c>
      <c r="K104" s="122">
        <f>SUM(K105:K106)</f>
        <v>1379898.55</v>
      </c>
      <c r="L104" s="122">
        <f>SUM(L105:L106)</f>
        <v>1172913.8700000003</v>
      </c>
      <c r="M104" s="181">
        <f t="shared" si="197"/>
        <v>1.0374012561171813</v>
      </c>
      <c r="N104" s="61">
        <f>SUM(N105:N106)</f>
        <v>1379898.55</v>
      </c>
      <c r="O104" s="61">
        <f t="shared" ref="O104:P104" si="201">SUM(O105:O106)</f>
        <v>206984.67999999976</v>
      </c>
      <c r="P104" s="102">
        <f t="shared" si="201"/>
        <v>0</v>
      </c>
      <c r="Q104" s="188">
        <f t="shared" ref="Q104:Y104" si="202">SUM(Q105:Q106)</f>
        <v>1231759.0967250001</v>
      </c>
      <c r="R104" s="249">
        <f t="shared" si="135"/>
        <v>1.0894477990752034</v>
      </c>
      <c r="S104" s="145">
        <f t="shared" si="202"/>
        <v>1306074.75</v>
      </c>
      <c r="T104" s="181">
        <f t="shared" si="198"/>
        <v>0.98190034958463335</v>
      </c>
      <c r="U104" s="65">
        <f>SUM(U105:U106)</f>
        <v>1110163.54</v>
      </c>
      <c r="V104" s="181">
        <f t="shared" si="199"/>
        <v>0.98190078602403807</v>
      </c>
      <c r="W104" s="65">
        <f>SUM(W105:W106)</f>
        <v>1306074.75</v>
      </c>
      <c r="X104" s="65">
        <f>SUM(X105:X106)</f>
        <v>195911.2099999999</v>
      </c>
      <c r="Y104" s="111">
        <f t="shared" si="202"/>
        <v>0</v>
      </c>
      <c r="Z104" s="110">
        <f t="shared" ref="Z104:AI104" si="203">SUM(Z105:Z106)</f>
        <v>1308794.71</v>
      </c>
      <c r="AA104" s="65">
        <f t="shared" si="203"/>
        <v>1112475.51</v>
      </c>
      <c r="AB104" s="65">
        <f t="shared" si="203"/>
        <v>1308794.71</v>
      </c>
      <c r="AC104" s="65">
        <f t="shared" si="203"/>
        <v>196319.2</v>
      </c>
      <c r="AD104" s="111">
        <f t="shared" si="203"/>
        <v>0</v>
      </c>
      <c r="AE104" s="110">
        <f t="shared" si="203"/>
        <v>2719.96</v>
      </c>
      <c r="AF104" s="65">
        <f t="shared" si="203"/>
        <v>2311.9699999999998</v>
      </c>
      <c r="AG104" s="65">
        <f t="shared" si="203"/>
        <v>2719.96</v>
      </c>
      <c r="AH104" s="65">
        <f t="shared" si="203"/>
        <v>407.99</v>
      </c>
      <c r="AI104" s="111">
        <f t="shared" si="203"/>
        <v>0</v>
      </c>
      <c r="AJ104" s="122"/>
      <c r="AK104" s="111"/>
    </row>
    <row r="105" spans="1:37" ht="66" outlineLevel="1">
      <c r="A105" s="234" t="s">
        <v>236</v>
      </c>
      <c r="B105" s="183" t="s">
        <v>237</v>
      </c>
      <c r="C105" s="182" t="s">
        <v>89</v>
      </c>
      <c r="D105" s="182" t="s">
        <v>231</v>
      </c>
      <c r="E105" s="178"/>
      <c r="F105" s="179"/>
      <c r="G105" s="61">
        <v>570996</v>
      </c>
      <c r="H105" s="103">
        <v>485346</v>
      </c>
      <c r="I105" s="180">
        <v>0.94310000000000005</v>
      </c>
      <c r="J105" s="221">
        <f>K105*I105</f>
        <v>544677.97399999993</v>
      </c>
      <c r="K105" s="122">
        <v>577539.99999999988</v>
      </c>
      <c r="L105" s="61">
        <v>490909.04000000021</v>
      </c>
      <c r="M105" s="181">
        <f t="shared" si="197"/>
        <v>1.0114620085464807</v>
      </c>
      <c r="N105" s="61">
        <f t="shared" si="194"/>
        <v>577539.99999999988</v>
      </c>
      <c r="O105" s="61">
        <f t="shared" si="195"/>
        <v>86630.959999999672</v>
      </c>
      <c r="P105" s="103">
        <v>0</v>
      </c>
      <c r="Q105" s="188">
        <f>S105*I105</f>
        <v>534237.53634600004</v>
      </c>
      <c r="R105" s="249">
        <f t="shared" si="135"/>
        <v>1.1007354265740319</v>
      </c>
      <c r="S105" s="145">
        <f t="shared" si="157"/>
        <v>566469.66</v>
      </c>
      <c r="T105" s="181">
        <f t="shared" si="198"/>
        <v>0.99207290418847072</v>
      </c>
      <c r="U105" s="61">
        <f>AA105-AF105</f>
        <v>481499.23000000016</v>
      </c>
      <c r="V105" s="181">
        <f t="shared" si="199"/>
        <v>0.99207416976754759</v>
      </c>
      <c r="W105" s="140">
        <f>S105-Y105</f>
        <v>566469.66</v>
      </c>
      <c r="X105" s="140">
        <f>S105-U105-Y105</f>
        <v>84970.429999999877</v>
      </c>
      <c r="Y105" s="111">
        <f t="shared" si="191"/>
        <v>0</v>
      </c>
      <c r="Z105" s="108">
        <v>566469.66</v>
      </c>
      <c r="AA105" s="61">
        <v>481499.23000000016</v>
      </c>
      <c r="AB105" s="61">
        <v>566469.66</v>
      </c>
      <c r="AC105" s="61">
        <v>84970.429999999978</v>
      </c>
      <c r="AD105" s="109">
        <v>0</v>
      </c>
      <c r="AE105" s="108">
        <v>0</v>
      </c>
      <c r="AF105" s="61">
        <v>0</v>
      </c>
      <c r="AG105" s="61">
        <v>0</v>
      </c>
      <c r="AH105" s="61">
        <v>0</v>
      </c>
      <c r="AI105" s="109">
        <v>0</v>
      </c>
      <c r="AJ105" s="122"/>
      <c r="AK105" s="111"/>
    </row>
    <row r="106" spans="1:37" ht="82.5" outlineLevel="1">
      <c r="A106" s="234" t="s">
        <v>238</v>
      </c>
      <c r="B106" s="183" t="s">
        <v>239</v>
      </c>
      <c r="C106" s="182" t="s">
        <v>89</v>
      </c>
      <c r="D106" s="182" t="s">
        <v>231</v>
      </c>
      <c r="E106" s="178"/>
      <c r="F106" s="179"/>
      <c r="G106" s="61">
        <v>759154</v>
      </c>
      <c r="H106" s="103">
        <v>645281</v>
      </c>
      <c r="I106" s="180">
        <v>0.94310000000000005</v>
      </c>
      <c r="J106" s="221">
        <f>K106*I106</f>
        <v>756704.34850500023</v>
      </c>
      <c r="K106" s="122">
        <v>802358.55000000016</v>
      </c>
      <c r="L106" s="61">
        <v>682004.83000000007</v>
      </c>
      <c r="M106" s="181">
        <f t="shared" si="197"/>
        <v>1.0569113765940732</v>
      </c>
      <c r="N106" s="61">
        <f t="shared" si="194"/>
        <v>802358.55000000016</v>
      </c>
      <c r="O106" s="61">
        <f t="shared" si="195"/>
        <v>120353.72000000009</v>
      </c>
      <c r="P106" s="103">
        <v>0</v>
      </c>
      <c r="Q106" s="188">
        <f>S106*I106</f>
        <v>697521.56037900003</v>
      </c>
      <c r="R106" s="249">
        <f t="shared" si="135"/>
        <v>1.0809578468589653</v>
      </c>
      <c r="S106" s="145">
        <f t="shared" si="157"/>
        <v>739605.09</v>
      </c>
      <c r="T106" s="181">
        <f t="shared" si="198"/>
        <v>0.97424908516585562</v>
      </c>
      <c r="U106" s="61">
        <f>AA106-AF106</f>
        <v>628664.30999999994</v>
      </c>
      <c r="V106" s="181">
        <f t="shared" si="199"/>
        <v>0.97424890861500635</v>
      </c>
      <c r="W106" s="140">
        <f>S106-Y106</f>
        <v>739605.09</v>
      </c>
      <c r="X106" s="140">
        <f>S106-U106-Y106</f>
        <v>110940.78000000003</v>
      </c>
      <c r="Y106" s="111">
        <f t="shared" si="191"/>
        <v>0</v>
      </c>
      <c r="Z106" s="108">
        <v>742325.04999999993</v>
      </c>
      <c r="AA106" s="61">
        <v>630976.27999999991</v>
      </c>
      <c r="AB106" s="61">
        <v>742325.04999999993</v>
      </c>
      <c r="AC106" s="61">
        <v>111348.77000000002</v>
      </c>
      <c r="AD106" s="109">
        <v>0</v>
      </c>
      <c r="AE106" s="108">
        <v>2719.96</v>
      </c>
      <c r="AF106" s="61">
        <v>2311.9699999999998</v>
      </c>
      <c r="AG106" s="61">
        <v>2719.96</v>
      </c>
      <c r="AH106" s="61">
        <v>407.99</v>
      </c>
      <c r="AI106" s="109">
        <v>0</v>
      </c>
      <c r="AJ106" s="122"/>
      <c r="AK106" s="111"/>
    </row>
    <row r="107" spans="1:37" s="32" customFormat="1" ht="66">
      <c r="A107" s="232" t="s">
        <v>240</v>
      </c>
      <c r="B107" s="171" t="s">
        <v>241</v>
      </c>
      <c r="C107" s="172" t="s">
        <v>89</v>
      </c>
      <c r="D107" s="172" t="s">
        <v>231</v>
      </c>
      <c r="E107" s="173"/>
      <c r="F107" s="174"/>
      <c r="G107" s="60">
        <f t="shared" ref="G107:H107" si="204">G108+G109</f>
        <v>8945985</v>
      </c>
      <c r="H107" s="104">
        <f t="shared" si="204"/>
        <v>8198164</v>
      </c>
      <c r="I107" s="157">
        <v>0.94310000000000005</v>
      </c>
      <c r="J107" s="112">
        <f>SUM(J108:J109)</f>
        <v>8749994.6104050037</v>
      </c>
      <c r="K107" s="124">
        <f>SUM(K108:K109)</f>
        <v>9277907.5500000026</v>
      </c>
      <c r="L107" s="124">
        <f>SUM(L108:L109)</f>
        <v>8473748.7199999988</v>
      </c>
      <c r="M107" s="175">
        <f t="shared" si="197"/>
        <v>1.0336154192572873</v>
      </c>
      <c r="N107" s="60">
        <f>SUM(N108:N109)</f>
        <v>8999843.1700000018</v>
      </c>
      <c r="O107" s="60">
        <f t="shared" ref="O107:P107" si="205">SUM(O108:O109)</f>
        <v>526094.44999999902</v>
      </c>
      <c r="P107" s="107">
        <f t="shared" si="205"/>
        <v>278064.37999999995</v>
      </c>
      <c r="Q107" s="189">
        <f t="shared" ref="Q107:Y107" si="206">Q108+Q109</f>
        <v>8131286.4269279968</v>
      </c>
      <c r="R107" s="175">
        <f t="shared" si="135"/>
        <v>0.99184237189302349</v>
      </c>
      <c r="S107" s="146">
        <f t="shared" si="206"/>
        <v>8621870.8799999971</v>
      </c>
      <c r="T107" s="175">
        <f t="shared" si="198"/>
        <v>0.96376987888980337</v>
      </c>
      <c r="U107" s="58">
        <f t="shared" si="206"/>
        <v>7895082.3999999966</v>
      </c>
      <c r="V107" s="175">
        <f t="shared" si="199"/>
        <v>0.96303055171865271</v>
      </c>
      <c r="W107" s="58">
        <f t="shared" si="206"/>
        <v>8358298.7799999965</v>
      </c>
      <c r="X107" s="58">
        <f t="shared" si="206"/>
        <v>463216.38000000024</v>
      </c>
      <c r="Y107" s="150">
        <f t="shared" si="206"/>
        <v>263572.09999999992</v>
      </c>
      <c r="Z107" s="118">
        <f t="shared" ref="Z107:AI107" si="207">Z108+Z109</f>
        <v>8750713.8699999973</v>
      </c>
      <c r="AA107" s="60">
        <f t="shared" si="207"/>
        <v>8008388.009999997</v>
      </c>
      <c r="AB107" s="60">
        <f t="shared" si="207"/>
        <v>8485436.3299999982</v>
      </c>
      <c r="AC107" s="60">
        <f t="shared" si="207"/>
        <v>477048.32000000024</v>
      </c>
      <c r="AD107" s="119">
        <f t="shared" si="207"/>
        <v>265277.53999999992</v>
      </c>
      <c r="AE107" s="118">
        <f t="shared" si="207"/>
        <v>128842.99</v>
      </c>
      <c r="AF107" s="60">
        <f t="shared" si="207"/>
        <v>113305.61</v>
      </c>
      <c r="AG107" s="60">
        <f t="shared" si="207"/>
        <v>127137.55</v>
      </c>
      <c r="AH107" s="60">
        <f t="shared" si="207"/>
        <v>13831.939999999999</v>
      </c>
      <c r="AI107" s="119">
        <f t="shared" si="207"/>
        <v>1705.44</v>
      </c>
      <c r="AJ107" s="124"/>
      <c r="AK107" s="113"/>
    </row>
    <row r="108" spans="1:37" s="28" customFormat="1" ht="82.5" outlineLevel="1">
      <c r="A108" s="234" t="s">
        <v>290</v>
      </c>
      <c r="B108" s="184" t="s">
        <v>242</v>
      </c>
      <c r="C108" s="185" t="s">
        <v>89</v>
      </c>
      <c r="D108" s="185" t="s">
        <v>231</v>
      </c>
      <c r="E108" s="186"/>
      <c r="F108" s="187"/>
      <c r="G108" s="65">
        <v>92246</v>
      </c>
      <c r="H108" s="103">
        <v>78409</v>
      </c>
      <c r="I108" s="180">
        <v>0.94310000000000005</v>
      </c>
      <c r="J108" s="221">
        <f>K108*I108</f>
        <v>92183.30006899999</v>
      </c>
      <c r="K108" s="122">
        <v>97744.989999999991</v>
      </c>
      <c r="L108" s="120">
        <v>83083.290000000008</v>
      </c>
      <c r="M108" s="181">
        <f t="shared" si="197"/>
        <v>1.0596142024512494</v>
      </c>
      <c r="N108" s="61">
        <f t="shared" si="194"/>
        <v>97744.989999999991</v>
      </c>
      <c r="O108" s="61">
        <f t="shared" si="195"/>
        <v>14661.699999999983</v>
      </c>
      <c r="P108" s="103">
        <v>0</v>
      </c>
      <c r="Q108" s="188">
        <f>S108*I108</f>
        <v>-816.52654900002142</v>
      </c>
      <c r="R108" s="249">
        <f t="shared" si="135"/>
        <v>-1.0413684003112161E-2</v>
      </c>
      <c r="S108" s="145">
        <f t="shared" si="157"/>
        <v>-865.7900000000227</v>
      </c>
      <c r="T108" s="181">
        <f t="shared" si="198"/>
        <v>-9.3856644190536461E-3</v>
      </c>
      <c r="U108" s="61">
        <f>AA108-AF108</f>
        <v>-735.8700000000099</v>
      </c>
      <c r="V108" s="181">
        <f t="shared" si="199"/>
        <v>-9.3850195768344184E-3</v>
      </c>
      <c r="W108" s="140">
        <f>S108-Y108</f>
        <v>-865.7900000000227</v>
      </c>
      <c r="X108" s="140">
        <f>S108-U108-Y108</f>
        <v>-129.92000000001281</v>
      </c>
      <c r="Y108" s="149">
        <f t="shared" si="191"/>
        <v>0</v>
      </c>
      <c r="Z108" s="110">
        <v>91347.069999999978</v>
      </c>
      <c r="AA108" s="65">
        <v>77645.049999999988</v>
      </c>
      <c r="AB108" s="65">
        <v>91347.069999999978</v>
      </c>
      <c r="AC108" s="65">
        <v>13702.019999999997</v>
      </c>
      <c r="AD108" s="111">
        <v>0</v>
      </c>
      <c r="AE108" s="110">
        <v>92212.86</v>
      </c>
      <c r="AF108" s="65">
        <v>78380.92</v>
      </c>
      <c r="AG108" s="65">
        <v>92212.86</v>
      </c>
      <c r="AH108" s="65">
        <v>13831.939999999999</v>
      </c>
      <c r="AI108" s="111">
        <v>0</v>
      </c>
      <c r="AJ108" s="122"/>
      <c r="AK108" s="111"/>
    </row>
    <row r="109" spans="1:37" s="56" customFormat="1" ht="82.5" outlineLevel="1">
      <c r="A109" s="236" t="s">
        <v>243</v>
      </c>
      <c r="B109" s="176" t="s">
        <v>244</v>
      </c>
      <c r="C109" s="177" t="s">
        <v>89</v>
      </c>
      <c r="D109" s="177" t="s">
        <v>231</v>
      </c>
      <c r="E109" s="186"/>
      <c r="F109" s="187"/>
      <c r="G109" s="61">
        <f t="shared" ref="G109:H109" si="208">SUM(G110:G112)</f>
        <v>8853739</v>
      </c>
      <c r="H109" s="103">
        <f t="shared" si="208"/>
        <v>8119755</v>
      </c>
      <c r="I109" s="180">
        <v>0.94310000000000005</v>
      </c>
      <c r="J109" s="110">
        <f>SUM(J110:J112)</f>
        <v>8657811.3103360031</v>
      </c>
      <c r="K109" s="122">
        <f>SUM(K110:K112)</f>
        <v>9180162.5600000024</v>
      </c>
      <c r="L109" s="122">
        <f>SUM(L110:L112)</f>
        <v>8390665.4299999997</v>
      </c>
      <c r="M109" s="181">
        <f t="shared" si="197"/>
        <v>1.0333643601315556</v>
      </c>
      <c r="N109" s="61">
        <f>SUM(N110:N112)</f>
        <v>8902098.1800000016</v>
      </c>
      <c r="O109" s="61">
        <f t="shared" ref="O109:P109" si="209">SUM(O110:O112)</f>
        <v>511432.74999999907</v>
      </c>
      <c r="P109" s="102">
        <f t="shared" si="209"/>
        <v>278064.37999999995</v>
      </c>
      <c r="Q109" s="188">
        <f t="shared" ref="Q109:Y109" si="210">SUM(Q110:Q112)</f>
        <v>8132102.9534769971</v>
      </c>
      <c r="R109" s="249">
        <f t="shared" si="135"/>
        <v>1.0015207298098276</v>
      </c>
      <c r="S109" s="145">
        <f t="shared" si="210"/>
        <v>8622736.6699999962</v>
      </c>
      <c r="T109" s="181">
        <f t="shared" si="198"/>
        <v>0.97390906485949003</v>
      </c>
      <c r="U109" s="65">
        <f t="shared" si="210"/>
        <v>7895818.2699999968</v>
      </c>
      <c r="V109" s="181">
        <f t="shared" si="199"/>
        <v>0.97242075284291174</v>
      </c>
      <c r="W109" s="65">
        <f t="shared" si="210"/>
        <v>8359164.5699999966</v>
      </c>
      <c r="X109" s="65">
        <f t="shared" si="210"/>
        <v>463346.30000000028</v>
      </c>
      <c r="Y109" s="149">
        <f t="shared" si="210"/>
        <v>263572.09999999992</v>
      </c>
      <c r="Z109" s="108">
        <f t="shared" ref="Z109:AI109" si="211">SUM(Z110:Z112)</f>
        <v>8659366.799999997</v>
      </c>
      <c r="AA109" s="61">
        <f t="shared" si="211"/>
        <v>7930742.9599999972</v>
      </c>
      <c r="AB109" s="61">
        <f t="shared" si="211"/>
        <v>8394089.2599999979</v>
      </c>
      <c r="AC109" s="61">
        <f t="shared" si="211"/>
        <v>463346.30000000022</v>
      </c>
      <c r="AD109" s="109">
        <f t="shared" si="211"/>
        <v>265277.53999999992</v>
      </c>
      <c r="AE109" s="108">
        <f t="shared" si="211"/>
        <v>36630.130000000005</v>
      </c>
      <c r="AF109" s="61">
        <f t="shared" si="211"/>
        <v>34924.69</v>
      </c>
      <c r="AG109" s="61">
        <f t="shared" si="211"/>
        <v>34924.69</v>
      </c>
      <c r="AH109" s="61">
        <f t="shared" si="211"/>
        <v>0</v>
      </c>
      <c r="AI109" s="109">
        <f t="shared" si="211"/>
        <v>1705.44</v>
      </c>
      <c r="AJ109" s="122"/>
      <c r="AK109" s="111"/>
    </row>
    <row r="110" spans="1:37" ht="66" outlineLevel="1">
      <c r="A110" s="234" t="s">
        <v>245</v>
      </c>
      <c r="B110" s="183" t="s">
        <v>246</v>
      </c>
      <c r="C110" s="182" t="s">
        <v>89</v>
      </c>
      <c r="D110" s="182" t="s">
        <v>231</v>
      </c>
      <c r="E110" s="186"/>
      <c r="F110" s="187"/>
      <c r="G110" s="61">
        <v>3372557</v>
      </c>
      <c r="H110" s="103">
        <v>2894995</v>
      </c>
      <c r="I110" s="180">
        <v>0.94310000000000005</v>
      </c>
      <c r="J110" s="221">
        <f>K110*I110</f>
        <v>3268788.8628120003</v>
      </c>
      <c r="K110" s="122">
        <v>3466004.52</v>
      </c>
      <c r="L110" s="120">
        <v>2954571.7700000009</v>
      </c>
      <c r="M110" s="181">
        <f t="shared" si="197"/>
        <v>1.0205792307067891</v>
      </c>
      <c r="N110" s="61">
        <f t="shared" si="194"/>
        <v>3466004.52</v>
      </c>
      <c r="O110" s="61">
        <f t="shared" si="195"/>
        <v>511432.74999999907</v>
      </c>
      <c r="P110" s="103">
        <v>0</v>
      </c>
      <c r="Q110" s="188">
        <f>S110*I110</f>
        <v>3086228.4312080001</v>
      </c>
      <c r="R110" s="249">
        <f t="shared" si="135"/>
        <v>1.0660565670089241</v>
      </c>
      <c r="S110" s="145">
        <f t="shared" si="157"/>
        <v>3272429.6799999997</v>
      </c>
      <c r="T110" s="181">
        <f t="shared" si="198"/>
        <v>0.97031115560092818</v>
      </c>
      <c r="U110" s="61">
        <f>AA110-AF110</f>
        <v>2809083.3799999994</v>
      </c>
      <c r="V110" s="181">
        <f t="shared" si="199"/>
        <v>0.97032408691552119</v>
      </c>
      <c r="W110" s="140">
        <f>S110-Y110</f>
        <v>3272429.6799999997</v>
      </c>
      <c r="X110" s="140">
        <f>S110-U110-Y110</f>
        <v>463346.30000000028</v>
      </c>
      <c r="Y110" s="149">
        <f t="shared" si="191"/>
        <v>0</v>
      </c>
      <c r="Z110" s="108">
        <v>3272429.6799999997</v>
      </c>
      <c r="AA110" s="61">
        <v>2809083.3799999994</v>
      </c>
      <c r="AB110" s="61">
        <v>3272429.6799999997</v>
      </c>
      <c r="AC110" s="61">
        <v>463346.30000000022</v>
      </c>
      <c r="AD110" s="109">
        <v>0</v>
      </c>
      <c r="AE110" s="108">
        <v>0</v>
      </c>
      <c r="AF110" s="61">
        <v>0</v>
      </c>
      <c r="AG110" s="61">
        <v>0</v>
      </c>
      <c r="AH110" s="61">
        <v>0</v>
      </c>
      <c r="AI110" s="109">
        <v>0</v>
      </c>
      <c r="AJ110" s="122"/>
      <c r="AK110" s="111"/>
    </row>
    <row r="111" spans="1:37" s="28" customFormat="1" ht="49.5" outlineLevel="1">
      <c r="A111" s="234" t="s">
        <v>247</v>
      </c>
      <c r="B111" s="183" t="s">
        <v>248</v>
      </c>
      <c r="C111" s="182" t="s">
        <v>89</v>
      </c>
      <c r="D111" s="182" t="s">
        <v>231</v>
      </c>
      <c r="E111" s="186"/>
      <c r="F111" s="187"/>
      <c r="G111" s="65">
        <v>3565274</v>
      </c>
      <c r="H111" s="103">
        <v>3308852</v>
      </c>
      <c r="I111" s="180">
        <v>0.94310000000000005</v>
      </c>
      <c r="J111" s="221">
        <f t="shared" ref="J111:J112" si="212">K111*I111</f>
        <v>3419641.0935410024</v>
      </c>
      <c r="K111" s="122">
        <v>3625958.1100000022</v>
      </c>
      <c r="L111" s="120">
        <v>3347893.7299999995</v>
      </c>
      <c r="M111" s="181">
        <f t="shared" si="197"/>
        <v>1.0117991768746379</v>
      </c>
      <c r="N111" s="61">
        <f t="shared" si="194"/>
        <v>3347893.7300000023</v>
      </c>
      <c r="O111" s="61">
        <f t="shared" si="195"/>
        <v>0</v>
      </c>
      <c r="P111" s="103">
        <v>278064.37999999995</v>
      </c>
      <c r="Q111" s="188">
        <f t="shared" ref="Q111:Q112" si="213">S111*I111</f>
        <v>3236009.224888999</v>
      </c>
      <c r="R111" s="249">
        <f t="shared" si="135"/>
        <v>0.9779854840557991</v>
      </c>
      <c r="S111" s="145">
        <f>Z111-AE111</f>
        <v>3431247.1899999985</v>
      </c>
      <c r="T111" s="181">
        <f t="shared" si="198"/>
        <v>0.96240771116048829</v>
      </c>
      <c r="U111" s="61">
        <f t="shared" ref="U111:U112" si="214">AA111-AF111</f>
        <v>3167675.0899999985</v>
      </c>
      <c r="V111" s="181">
        <f t="shared" si="199"/>
        <v>0.95733356765427968</v>
      </c>
      <c r="W111" s="140">
        <f>S111-Y111</f>
        <v>3167675.0899999985</v>
      </c>
      <c r="X111" s="140">
        <f>S111-U111-Y111</f>
        <v>0</v>
      </c>
      <c r="Y111" s="149">
        <f>AD111-AI111</f>
        <v>263572.09999999992</v>
      </c>
      <c r="Z111" s="110">
        <v>3453803.5799999987</v>
      </c>
      <c r="AA111" s="65">
        <v>3188526.0399999986</v>
      </c>
      <c r="AB111" s="65">
        <v>3188526.0399999986</v>
      </c>
      <c r="AC111" s="65">
        <v>0</v>
      </c>
      <c r="AD111" s="111">
        <v>265277.53999999992</v>
      </c>
      <c r="AE111" s="110">
        <f>22491.22+65.17</f>
        <v>22556.39</v>
      </c>
      <c r="AF111" s="65">
        <f>20790.95+60</f>
        <v>20850.95</v>
      </c>
      <c r="AG111" s="65">
        <f>20790.95+60</f>
        <v>20850.95</v>
      </c>
      <c r="AH111" s="65">
        <v>0</v>
      </c>
      <c r="AI111" s="111">
        <f>1700.27+5.17</f>
        <v>1705.44</v>
      </c>
      <c r="AJ111" s="122"/>
      <c r="AK111" s="111"/>
    </row>
    <row r="112" spans="1:37" s="28" customFormat="1" ht="99" outlineLevel="1">
      <c r="A112" s="234" t="s">
        <v>249</v>
      </c>
      <c r="B112" s="183" t="s">
        <v>250</v>
      </c>
      <c r="C112" s="182" t="s">
        <v>89</v>
      </c>
      <c r="D112" s="182" t="s">
        <v>231</v>
      </c>
      <c r="E112" s="186"/>
      <c r="F112" s="187"/>
      <c r="G112" s="61">
        <v>1915908</v>
      </c>
      <c r="H112" s="102">
        <v>1915908</v>
      </c>
      <c r="I112" s="180">
        <v>0.94310000000000005</v>
      </c>
      <c r="J112" s="221">
        <f t="shared" si="212"/>
        <v>1969381.3539830002</v>
      </c>
      <c r="K112" s="120">
        <v>2088199.9300000002</v>
      </c>
      <c r="L112" s="120">
        <v>2088199.9299999992</v>
      </c>
      <c r="M112" s="181">
        <f t="shared" si="197"/>
        <v>1.089927037206379</v>
      </c>
      <c r="N112" s="61">
        <f t="shared" si="194"/>
        <v>2088199.9300000002</v>
      </c>
      <c r="O112" s="61">
        <f t="shared" si="195"/>
        <v>0</v>
      </c>
      <c r="P112" s="102">
        <v>0</v>
      </c>
      <c r="Q112" s="188">
        <f t="shared" si="213"/>
        <v>1809865.2973799987</v>
      </c>
      <c r="R112" s="249">
        <f t="shared" si="135"/>
        <v>0.94465146415172274</v>
      </c>
      <c r="S112" s="145">
        <f t="shared" si="157"/>
        <v>1919059.7999999986</v>
      </c>
      <c r="T112" s="181">
        <f t="shared" si="198"/>
        <v>1.0016450685523515</v>
      </c>
      <c r="U112" s="61">
        <f t="shared" si="214"/>
        <v>1919059.7999999986</v>
      </c>
      <c r="V112" s="181">
        <f t="shared" si="199"/>
        <v>1.0016450685523515</v>
      </c>
      <c r="W112" s="140">
        <f>S112-Y112</f>
        <v>1919059.7999999986</v>
      </c>
      <c r="X112" s="140">
        <f>S112-U112-Y112</f>
        <v>0</v>
      </c>
      <c r="Y112" s="148">
        <f t="shared" si="191"/>
        <v>0</v>
      </c>
      <c r="Z112" s="108">
        <v>1933133.5399999986</v>
      </c>
      <c r="AA112" s="61">
        <v>1933133.5399999986</v>
      </c>
      <c r="AB112" s="61">
        <v>1933133.5399999986</v>
      </c>
      <c r="AC112" s="61">
        <v>0</v>
      </c>
      <c r="AD112" s="109">
        <v>0</v>
      </c>
      <c r="AE112" s="108">
        <v>14073.740000000002</v>
      </c>
      <c r="AF112" s="61">
        <v>14073.740000000002</v>
      </c>
      <c r="AG112" s="61">
        <v>14073.740000000002</v>
      </c>
      <c r="AH112" s="61">
        <v>0</v>
      </c>
      <c r="AI112" s="109">
        <v>0</v>
      </c>
      <c r="AJ112" s="120"/>
      <c r="AK112" s="109"/>
    </row>
    <row r="113" spans="1:37" s="97" customFormat="1" ht="115.5">
      <c r="A113" s="240" t="s">
        <v>251</v>
      </c>
      <c r="B113" s="94" t="s">
        <v>252</v>
      </c>
      <c r="C113" s="95" t="s">
        <v>89</v>
      </c>
      <c r="D113" s="95" t="s">
        <v>19</v>
      </c>
      <c r="E113" s="42"/>
      <c r="F113" s="34"/>
      <c r="G113" s="60">
        <f t="shared" ref="G113:H113" si="215">SUM(G114:G115)</f>
        <v>6734355</v>
      </c>
      <c r="H113" s="104">
        <f t="shared" si="215"/>
        <v>6734355</v>
      </c>
      <c r="I113" s="157">
        <v>0.94310000000000005</v>
      </c>
      <c r="J113" s="112">
        <f>SUM(J114:J115)</f>
        <v>6162163.9538950007</v>
      </c>
      <c r="K113" s="124">
        <f>SUM(K114:K115)</f>
        <v>6533945.4499999993</v>
      </c>
      <c r="L113" s="124">
        <f>SUM(L114:L115)</f>
        <v>6533945.4500000002</v>
      </c>
      <c r="M113" s="99">
        <f t="shared" si="197"/>
        <v>0.97024072090051683</v>
      </c>
      <c r="N113" s="60">
        <f>SUM(N114:N115)</f>
        <v>6533945.4499999993</v>
      </c>
      <c r="O113" s="60">
        <f>SUM(O114:O115)</f>
        <v>0</v>
      </c>
      <c r="P113" s="107">
        <f>SUM(P114:P115)</f>
        <v>0</v>
      </c>
      <c r="Q113" s="189">
        <f t="shared" ref="Q113:Y113" si="216">SUM(Q114:Q115)</f>
        <v>6003402.7168080043</v>
      </c>
      <c r="R113" s="175">
        <f t="shared" si="135"/>
        <v>0.89145919940484342</v>
      </c>
      <c r="S113" s="146">
        <f t="shared" si="216"/>
        <v>6365605.6800000034</v>
      </c>
      <c r="T113" s="175">
        <f t="shared" si="198"/>
        <v>0.94524355784629754</v>
      </c>
      <c r="U113" s="58">
        <f t="shared" si="216"/>
        <v>6365605.6800000034</v>
      </c>
      <c r="V113" s="175">
        <f t="shared" si="199"/>
        <v>0.94524355784629754</v>
      </c>
      <c r="W113" s="58">
        <f t="shared" si="216"/>
        <v>6365605.6800000034</v>
      </c>
      <c r="X113" s="58">
        <f t="shared" si="216"/>
        <v>0</v>
      </c>
      <c r="Y113" s="150">
        <f t="shared" si="216"/>
        <v>0</v>
      </c>
      <c r="Z113" s="118">
        <f t="shared" ref="Z113:AI113" si="217">SUM(Z114:Z115)</f>
        <v>6379022.9000000041</v>
      </c>
      <c r="AA113" s="60">
        <f t="shared" si="217"/>
        <v>6379022.9000000041</v>
      </c>
      <c r="AB113" s="60">
        <f t="shared" si="217"/>
        <v>6379022.9000000041</v>
      </c>
      <c r="AC113" s="60">
        <f t="shared" si="217"/>
        <v>0</v>
      </c>
      <c r="AD113" s="119">
        <f t="shared" si="217"/>
        <v>0</v>
      </c>
      <c r="AE113" s="118">
        <f t="shared" si="217"/>
        <v>13417.22</v>
      </c>
      <c r="AF113" s="60">
        <f t="shared" si="217"/>
        <v>13417.22</v>
      </c>
      <c r="AG113" s="60">
        <f t="shared" si="217"/>
        <v>13417.22</v>
      </c>
      <c r="AH113" s="60">
        <f t="shared" si="217"/>
        <v>0</v>
      </c>
      <c r="AI113" s="119">
        <f t="shared" si="217"/>
        <v>0</v>
      </c>
      <c r="AJ113" s="124"/>
      <c r="AK113" s="113"/>
    </row>
    <row r="114" spans="1:37" s="32" customFormat="1" ht="66" outlineLevel="1">
      <c r="A114" s="234" t="s">
        <v>253</v>
      </c>
      <c r="B114" s="183" t="s">
        <v>254</v>
      </c>
      <c r="C114" s="182" t="s">
        <v>89</v>
      </c>
      <c r="D114" s="182" t="s">
        <v>19</v>
      </c>
      <c r="E114" s="186"/>
      <c r="F114" s="187"/>
      <c r="G114" s="61">
        <v>3506867</v>
      </c>
      <c r="H114" s="102">
        <v>3506867</v>
      </c>
      <c r="I114" s="180">
        <v>0.94310000000000005</v>
      </c>
      <c r="J114" s="221">
        <f>K114*I114</f>
        <v>3285462.9745530006</v>
      </c>
      <c r="K114" s="120">
        <v>3483684.6300000004</v>
      </c>
      <c r="L114" s="120">
        <v>3483684.6300000013</v>
      </c>
      <c r="M114" s="181">
        <f t="shared" si="197"/>
        <v>0.99338943564155735</v>
      </c>
      <c r="N114" s="61">
        <f t="shared" si="194"/>
        <v>3483684.6300000004</v>
      </c>
      <c r="O114" s="61">
        <f t="shared" si="195"/>
        <v>0</v>
      </c>
      <c r="P114" s="102">
        <v>0</v>
      </c>
      <c r="Q114" s="163">
        <f>S114*I114</f>
        <v>3267111.6820650036</v>
      </c>
      <c r="R114" s="249">
        <f t="shared" si="135"/>
        <v>0.93163261739467262</v>
      </c>
      <c r="S114" s="145">
        <f t="shared" si="157"/>
        <v>3464226.1500000036</v>
      </c>
      <c r="T114" s="181">
        <f t="shared" si="198"/>
        <v>0.98784075643587388</v>
      </c>
      <c r="U114" s="61">
        <f>AA114-AF114</f>
        <v>3464226.1500000036</v>
      </c>
      <c r="V114" s="181">
        <f t="shared" si="199"/>
        <v>0.98784075643587388</v>
      </c>
      <c r="W114" s="140">
        <f>S114-Y114</f>
        <v>3464226.1500000036</v>
      </c>
      <c r="X114" s="140">
        <f>S114-U114-Y114</f>
        <v>0</v>
      </c>
      <c r="Y114" s="148">
        <f t="shared" si="191"/>
        <v>0</v>
      </c>
      <c r="Z114" s="108">
        <v>3472895.4700000035</v>
      </c>
      <c r="AA114" s="61">
        <v>3472895.4700000035</v>
      </c>
      <c r="AB114" s="61">
        <v>3472895.4700000035</v>
      </c>
      <c r="AC114" s="61">
        <v>0</v>
      </c>
      <c r="AD114" s="109">
        <v>0</v>
      </c>
      <c r="AE114" s="108">
        <v>8669.32</v>
      </c>
      <c r="AF114" s="61">
        <v>8669.32</v>
      </c>
      <c r="AG114" s="61">
        <v>8669.32</v>
      </c>
      <c r="AH114" s="61">
        <v>0</v>
      </c>
      <c r="AI114" s="109">
        <v>0</v>
      </c>
      <c r="AJ114" s="120"/>
      <c r="AK114" s="109"/>
    </row>
    <row r="115" spans="1:37" ht="82.5" outlineLevel="1">
      <c r="A115" s="234" t="s">
        <v>255</v>
      </c>
      <c r="B115" s="183" t="s">
        <v>256</v>
      </c>
      <c r="C115" s="182" t="s">
        <v>89</v>
      </c>
      <c r="D115" s="182" t="s">
        <v>19</v>
      </c>
      <c r="E115" s="186"/>
      <c r="F115" s="187"/>
      <c r="G115" s="61">
        <v>3227488</v>
      </c>
      <c r="H115" s="103">
        <v>3227488</v>
      </c>
      <c r="I115" s="180">
        <v>0.94310000000000005</v>
      </c>
      <c r="J115" s="221">
        <f>K115*I115</f>
        <v>2876700.9793419996</v>
      </c>
      <c r="K115" s="122">
        <v>3050260.8199999994</v>
      </c>
      <c r="L115" s="120">
        <v>3050260.8199999989</v>
      </c>
      <c r="M115" s="181">
        <f t="shared" si="197"/>
        <v>0.94508819862382099</v>
      </c>
      <c r="N115" s="61">
        <f t="shared" si="194"/>
        <v>3050260.8199999994</v>
      </c>
      <c r="O115" s="61">
        <f t="shared" si="195"/>
        <v>0</v>
      </c>
      <c r="P115" s="103">
        <v>0</v>
      </c>
      <c r="Q115" s="163">
        <f>S115*I115</f>
        <v>2736291.0347430003</v>
      </c>
      <c r="R115" s="249">
        <f t="shared" si="135"/>
        <v>0.84780827527259595</v>
      </c>
      <c r="S115" s="145">
        <f t="shared" si="157"/>
        <v>2901379.5300000003</v>
      </c>
      <c r="T115" s="181">
        <f t="shared" si="198"/>
        <v>0.89895904492905943</v>
      </c>
      <c r="U115" s="61">
        <f>AA115-AF115</f>
        <v>2901379.5300000003</v>
      </c>
      <c r="V115" s="181">
        <f t="shared" si="199"/>
        <v>0.89895904492905943</v>
      </c>
      <c r="W115" s="140">
        <f>S115-Y115</f>
        <v>2901379.5300000003</v>
      </c>
      <c r="X115" s="140">
        <f>S115-U115-Y115</f>
        <v>0</v>
      </c>
      <c r="Y115" s="149">
        <f t="shared" si="191"/>
        <v>0</v>
      </c>
      <c r="Z115" s="108">
        <v>2906127.43</v>
      </c>
      <c r="AA115" s="61">
        <v>2906127.43</v>
      </c>
      <c r="AB115" s="61">
        <v>2906127.43</v>
      </c>
      <c r="AC115" s="61">
        <v>0</v>
      </c>
      <c r="AD115" s="109">
        <v>0</v>
      </c>
      <c r="AE115" s="108">
        <v>4747.8999999999996</v>
      </c>
      <c r="AF115" s="61">
        <v>4747.8999999999996</v>
      </c>
      <c r="AG115" s="61">
        <v>4747.8999999999996</v>
      </c>
      <c r="AH115" s="61">
        <v>0</v>
      </c>
      <c r="AI115" s="109">
        <v>0</v>
      </c>
      <c r="AJ115" s="122"/>
      <c r="AK115" s="111"/>
    </row>
    <row r="116" spans="1:37" s="32" customFormat="1" ht="33">
      <c r="A116" s="241" t="s">
        <v>257</v>
      </c>
      <c r="B116" s="91" t="s">
        <v>258</v>
      </c>
      <c r="C116" s="92" t="s">
        <v>89</v>
      </c>
      <c r="D116" s="92" t="s">
        <v>228</v>
      </c>
      <c r="E116" s="41"/>
      <c r="F116" s="93"/>
      <c r="G116" s="59">
        <f t="shared" ref="G116:Y117" si="218">G117</f>
        <v>18280717</v>
      </c>
      <c r="H116" s="106">
        <f t="shared" si="218"/>
        <v>18280717</v>
      </c>
      <c r="I116" s="156">
        <v>1</v>
      </c>
      <c r="J116" s="116">
        <f>J117</f>
        <v>18050733.629999999</v>
      </c>
      <c r="K116" s="125">
        <f>K117</f>
        <v>18050733.629999999</v>
      </c>
      <c r="L116" s="164">
        <f t="shared" ref="L116" si="219">K116*I116</f>
        <v>18050733.629999999</v>
      </c>
      <c r="M116" s="98">
        <f t="shared" si="197"/>
        <v>0.98741934629806916</v>
      </c>
      <c r="N116" s="136">
        <f t="shared" si="194"/>
        <v>18050733.629999999</v>
      </c>
      <c r="O116" s="136">
        <f t="shared" si="195"/>
        <v>0</v>
      </c>
      <c r="P116" s="106">
        <f t="shared" si="218"/>
        <v>0</v>
      </c>
      <c r="Q116" s="166">
        <f t="shared" si="218"/>
        <v>17907552.210000001</v>
      </c>
      <c r="R116" s="159">
        <f t="shared" si="135"/>
        <v>0.97958697188956001</v>
      </c>
      <c r="S116" s="147">
        <f t="shared" si="218"/>
        <v>17907552.210000001</v>
      </c>
      <c r="T116" s="159">
        <f t="shared" si="198"/>
        <v>0.97958697188956001</v>
      </c>
      <c r="U116" s="57">
        <f t="shared" si="218"/>
        <v>17907552.210000001</v>
      </c>
      <c r="V116" s="159">
        <f t="shared" si="199"/>
        <v>0.97958697188956001</v>
      </c>
      <c r="W116" s="57">
        <f t="shared" si="218"/>
        <v>17907552.210000001</v>
      </c>
      <c r="X116" s="57">
        <f t="shared" si="218"/>
        <v>0</v>
      </c>
      <c r="Y116" s="151">
        <f t="shared" si="218"/>
        <v>0</v>
      </c>
      <c r="Z116" s="114">
        <f t="shared" ref="Z116:AI117" si="220">Z117</f>
        <v>17911831.960000001</v>
      </c>
      <c r="AA116" s="59">
        <f t="shared" si="220"/>
        <v>17911831.960000001</v>
      </c>
      <c r="AB116" s="59">
        <f t="shared" si="220"/>
        <v>17911831.960000001</v>
      </c>
      <c r="AC116" s="59">
        <f t="shared" si="220"/>
        <v>0</v>
      </c>
      <c r="AD116" s="115">
        <f t="shared" si="220"/>
        <v>0</v>
      </c>
      <c r="AE116" s="114">
        <f t="shared" si="220"/>
        <v>4279.7500000000027</v>
      </c>
      <c r="AF116" s="59">
        <f t="shared" si="220"/>
        <v>4279.7500000000027</v>
      </c>
      <c r="AG116" s="59">
        <f t="shared" si="220"/>
        <v>4279.7500000000027</v>
      </c>
      <c r="AH116" s="59">
        <f t="shared" si="220"/>
        <v>0</v>
      </c>
      <c r="AI116" s="115">
        <f t="shared" si="220"/>
        <v>0</v>
      </c>
      <c r="AJ116" s="125">
        <v>12496295.43</v>
      </c>
      <c r="AK116" s="238">
        <f>AJ116/H116</f>
        <v>0.68357797071088622</v>
      </c>
    </row>
    <row r="117" spans="1:37" s="32" customFormat="1" ht="99">
      <c r="A117" s="240" t="s">
        <v>259</v>
      </c>
      <c r="B117" s="94" t="s">
        <v>260</v>
      </c>
      <c r="C117" s="95" t="s">
        <v>89</v>
      </c>
      <c r="D117" s="95" t="s">
        <v>228</v>
      </c>
      <c r="E117" s="42"/>
      <c r="F117" s="34"/>
      <c r="G117" s="60">
        <f t="shared" si="218"/>
        <v>18280717</v>
      </c>
      <c r="H117" s="104">
        <f t="shared" si="218"/>
        <v>18280717</v>
      </c>
      <c r="I117" s="157">
        <v>1</v>
      </c>
      <c r="J117" s="112">
        <f>J118</f>
        <v>18050733.629999999</v>
      </c>
      <c r="K117" s="124">
        <f>K118</f>
        <v>18050733.629999999</v>
      </c>
      <c r="L117" s="124">
        <f>L118</f>
        <v>18050733.629999992</v>
      </c>
      <c r="M117" s="99">
        <f t="shared" si="197"/>
        <v>0.98741934629806871</v>
      </c>
      <c r="N117" s="137">
        <f>SUM(N118)</f>
        <v>18050733.629999999</v>
      </c>
      <c r="O117" s="137">
        <f t="shared" ref="O117:P117" si="221">SUM(O118)</f>
        <v>0</v>
      </c>
      <c r="P117" s="226">
        <f t="shared" si="221"/>
        <v>0</v>
      </c>
      <c r="Q117" s="189">
        <f t="shared" si="218"/>
        <v>17907552.210000001</v>
      </c>
      <c r="R117" s="175">
        <f t="shared" si="135"/>
        <v>0.97958697188956001</v>
      </c>
      <c r="S117" s="146">
        <f t="shared" si="218"/>
        <v>17907552.210000001</v>
      </c>
      <c r="T117" s="175">
        <f t="shared" si="198"/>
        <v>0.97958697188956001</v>
      </c>
      <c r="U117" s="58">
        <f t="shared" si="218"/>
        <v>17907552.210000001</v>
      </c>
      <c r="V117" s="175">
        <f t="shared" si="199"/>
        <v>0.97958697188956001</v>
      </c>
      <c r="W117" s="58">
        <f t="shared" si="218"/>
        <v>17907552.210000001</v>
      </c>
      <c r="X117" s="58">
        <f t="shared" si="218"/>
        <v>0</v>
      </c>
      <c r="Y117" s="150">
        <f t="shared" si="218"/>
        <v>0</v>
      </c>
      <c r="Z117" s="118">
        <f t="shared" si="220"/>
        <v>17911831.960000001</v>
      </c>
      <c r="AA117" s="60">
        <f t="shared" si="220"/>
        <v>17911831.960000001</v>
      </c>
      <c r="AB117" s="60">
        <f t="shared" si="220"/>
        <v>17911831.960000001</v>
      </c>
      <c r="AC117" s="60">
        <f t="shared" si="220"/>
        <v>0</v>
      </c>
      <c r="AD117" s="119">
        <f t="shared" si="220"/>
        <v>0</v>
      </c>
      <c r="AE117" s="118">
        <f t="shared" si="220"/>
        <v>4279.7500000000027</v>
      </c>
      <c r="AF117" s="60">
        <f t="shared" si="220"/>
        <v>4279.7500000000027</v>
      </c>
      <c r="AG117" s="60">
        <f t="shared" si="220"/>
        <v>4279.7500000000027</v>
      </c>
      <c r="AH117" s="60">
        <f t="shared" si="220"/>
        <v>0</v>
      </c>
      <c r="AI117" s="119">
        <f t="shared" si="220"/>
        <v>0</v>
      </c>
      <c r="AJ117" s="124"/>
      <c r="AK117" s="113"/>
    </row>
    <row r="118" spans="1:37" ht="66" outlineLevel="1">
      <c r="A118" s="234" t="s">
        <v>261</v>
      </c>
      <c r="B118" s="183" t="s">
        <v>262</v>
      </c>
      <c r="C118" s="182" t="s">
        <v>89</v>
      </c>
      <c r="D118" s="182" t="s">
        <v>228</v>
      </c>
      <c r="E118" s="186"/>
      <c r="F118" s="187"/>
      <c r="G118" s="61">
        <v>18280717</v>
      </c>
      <c r="H118" s="103">
        <v>18280717</v>
      </c>
      <c r="I118" s="180">
        <v>1</v>
      </c>
      <c r="J118" s="221">
        <f>K118*I118</f>
        <v>18050733.629999999</v>
      </c>
      <c r="K118" s="122">
        <v>18050733.629999999</v>
      </c>
      <c r="L118" s="61">
        <v>18050733.629999992</v>
      </c>
      <c r="M118" s="181">
        <f t="shared" si="197"/>
        <v>0.98741934629806871</v>
      </c>
      <c r="N118" s="61">
        <f t="shared" si="194"/>
        <v>18050733.629999999</v>
      </c>
      <c r="O118" s="61">
        <f t="shared" si="195"/>
        <v>0</v>
      </c>
      <c r="P118" s="103">
        <v>0</v>
      </c>
      <c r="Q118" s="188">
        <f>S118*I118</f>
        <v>17907552.210000001</v>
      </c>
      <c r="R118" s="249">
        <f t="shared" si="135"/>
        <v>0.97958697188956001</v>
      </c>
      <c r="S118" s="145">
        <f t="shared" si="157"/>
        <v>17907552.210000001</v>
      </c>
      <c r="T118" s="181">
        <f t="shared" si="198"/>
        <v>0.97958697188956001</v>
      </c>
      <c r="U118" s="61">
        <f>AA118-AF118</f>
        <v>17907552.210000001</v>
      </c>
      <c r="V118" s="181">
        <f t="shared" si="199"/>
        <v>0.97958697188956001</v>
      </c>
      <c r="W118" s="140">
        <f>S118-Y118</f>
        <v>17907552.210000001</v>
      </c>
      <c r="X118" s="140">
        <f>S118-U118-Y118</f>
        <v>0</v>
      </c>
      <c r="Y118" s="149">
        <f t="shared" si="191"/>
        <v>0</v>
      </c>
      <c r="Z118" s="163">
        <v>17911831.960000001</v>
      </c>
      <c r="AA118" s="61">
        <v>17911831.960000001</v>
      </c>
      <c r="AB118" s="120">
        <v>17911831.960000001</v>
      </c>
      <c r="AC118" s="61">
        <v>0</v>
      </c>
      <c r="AD118" s="109">
        <v>0</v>
      </c>
      <c r="AE118" s="163">
        <v>4279.7500000000027</v>
      </c>
      <c r="AF118" s="61">
        <v>4279.7500000000027</v>
      </c>
      <c r="AG118" s="61">
        <v>4279.7500000000027</v>
      </c>
      <c r="AH118" s="61">
        <v>0</v>
      </c>
      <c r="AI118" s="109">
        <v>0</v>
      </c>
      <c r="AJ118" s="122"/>
      <c r="AK118" s="111"/>
    </row>
    <row r="119" spans="1:37" s="56" customFormat="1" ht="39">
      <c r="A119" s="242"/>
      <c r="B119" s="90" t="s">
        <v>30</v>
      </c>
      <c r="C119" s="18"/>
      <c r="D119" s="18"/>
      <c r="E119" s="37"/>
      <c r="F119" s="18"/>
      <c r="G119" s="61">
        <f>G15+G19+G20+G22+G27+G28+G29+G30+G32+G33+G34+G38+G40+G46+G48+G49+G57+G58+G59+G60+G61+G62+G64+G65+G67+G68+G70+G72+G76+G84+G86+G89+G90+G91</f>
        <v>643452562</v>
      </c>
      <c r="H119" s="61">
        <f>H15+H19+H20+H22+H27+H28+H29+H30+H32+H33+H34+H38+H40+H46+H48+H49+H57+H58+H59+H60+H61+H62+H64+H65+H67+H68+H70+H72+H76+H84+H86+H89+H90+H91</f>
        <v>541931985</v>
      </c>
      <c r="I119" s="144"/>
      <c r="J119" s="108">
        <f t="shared" ref="J119:AI119" si="222">J15+J19+J20+J22+J27+J28+J29+J30+J32+J33+J34+J38+J40+J46+J48+J49+J57+J58+J59+J60+J61+J62+J64+J65+J67+J68+J70+J72+J76+J84+J86+J89+J90+J91+J66+J85+J87+J92</f>
        <v>603094739.16231883</v>
      </c>
      <c r="K119" s="120">
        <f t="shared" si="222"/>
        <v>716998615.99000001</v>
      </c>
      <c r="L119" s="61">
        <f t="shared" si="222"/>
        <v>602514778.70999992</v>
      </c>
      <c r="M119" s="61"/>
      <c r="N119" s="61">
        <f t="shared" si="222"/>
        <v>681499586.66999996</v>
      </c>
      <c r="O119" s="61">
        <f t="shared" si="222"/>
        <v>78984807.960000038</v>
      </c>
      <c r="P119" s="102">
        <f t="shared" si="222"/>
        <v>35499029.32</v>
      </c>
      <c r="Q119" s="108">
        <f>Q15+Q19+Q20+Q22+Q27+Q28+Q29+Q30+Q32+Q33+Q34+Q38+Q40+Q46+Q48+Q49+Q57+Q58+Q59+Q60+Q61+Q62+Q64+Q65+Q67+Q68+Q70+Q72+Q76+Q84+Q86+Q89+Q90+Q91+Q66+Q85+Q87+Q92</f>
        <v>593617786.09279299</v>
      </c>
      <c r="R119" s="61"/>
      <c r="S119" s="144">
        <f t="shared" si="222"/>
        <v>705198266.2700001</v>
      </c>
      <c r="T119" s="61"/>
      <c r="U119" s="61">
        <f t="shared" si="222"/>
        <v>593474242.58000004</v>
      </c>
      <c r="V119" s="61"/>
      <c r="W119" s="61">
        <f t="shared" si="222"/>
        <v>671826988.10000014</v>
      </c>
      <c r="X119" s="61">
        <f>X15+X19+X20+X22+X27+X28+X29+X30+X32+X33+X34+X38+X40+X46+X48+X49+X57+X58+X59+X60+X61+X62+X64+X65+X67+X68+X70+X72+X76+X84+X86+X89+X90+X91+X66+X85+X87+X92</f>
        <v>78352745.519999981</v>
      </c>
      <c r="Y119" s="109">
        <f t="shared" si="222"/>
        <v>33371278.170000009</v>
      </c>
      <c r="Z119" s="144">
        <f t="shared" si="222"/>
        <v>712314255.09000015</v>
      </c>
      <c r="AA119" s="61">
        <f t="shared" si="222"/>
        <v>598068037.42000008</v>
      </c>
      <c r="AB119" s="61">
        <f t="shared" si="222"/>
        <v>677222262.57000017</v>
      </c>
      <c r="AC119" s="61">
        <f t="shared" si="222"/>
        <v>79154225.149999976</v>
      </c>
      <c r="AD119" s="109">
        <f t="shared" si="222"/>
        <v>35091992.520000011</v>
      </c>
      <c r="AE119" s="144">
        <f t="shared" si="222"/>
        <v>7115988.8199999994</v>
      </c>
      <c r="AF119" s="61">
        <f t="shared" si="222"/>
        <v>4593794.84</v>
      </c>
      <c r="AG119" s="61">
        <f t="shared" si="222"/>
        <v>5395274.4699999988</v>
      </c>
      <c r="AH119" s="61">
        <f t="shared" si="222"/>
        <v>801479.62999999989</v>
      </c>
      <c r="AI119" s="148">
        <f t="shared" si="222"/>
        <v>1720714.3499999999</v>
      </c>
      <c r="AJ119" s="122"/>
      <c r="AK119" s="111"/>
    </row>
    <row r="120" spans="1:37" s="28" customFormat="1" ht="20.25">
      <c r="A120" s="243"/>
      <c r="B120" s="90"/>
      <c r="C120" s="17"/>
      <c r="D120" s="17"/>
      <c r="E120" s="38"/>
      <c r="F120" s="17"/>
      <c r="G120" s="65"/>
      <c r="H120" s="65"/>
      <c r="I120" s="145"/>
      <c r="J120" s="110"/>
      <c r="K120" s="122"/>
      <c r="L120" s="65"/>
      <c r="M120" s="100"/>
      <c r="N120" s="65"/>
      <c r="O120" s="65"/>
      <c r="P120" s="103"/>
      <c r="Q120" s="110"/>
      <c r="R120" s="65"/>
      <c r="S120" s="209"/>
      <c r="T120" s="161"/>
      <c r="U120" s="138"/>
      <c r="V120" s="162"/>
      <c r="W120" s="140"/>
      <c r="X120" s="140"/>
      <c r="Y120" s="149"/>
      <c r="Z120" s="188"/>
      <c r="AA120" s="65"/>
      <c r="AB120" s="65"/>
      <c r="AC120" s="65"/>
      <c r="AD120" s="149"/>
      <c r="AE120" s="188"/>
      <c r="AF120" s="65"/>
      <c r="AG120" s="65"/>
      <c r="AH120" s="65"/>
      <c r="AI120" s="149"/>
      <c r="AJ120" s="122"/>
      <c r="AK120" s="111"/>
    </row>
    <row r="121" spans="1:37" s="32" customFormat="1" ht="39">
      <c r="A121" s="242"/>
      <c r="B121" s="90" t="s">
        <v>28</v>
      </c>
      <c r="C121" s="18"/>
      <c r="D121" s="18"/>
      <c r="E121" s="37"/>
      <c r="F121" s="18"/>
      <c r="G121" s="61">
        <f>G15+G19+G20+G22+G27+G28+G29+G30+G32+G33+G34+G38+G40+G46+G48+G49+G57+G59+G60+G61+G62+G72+G76</f>
        <v>382794175</v>
      </c>
      <c r="H121" s="61">
        <f>H15+H19+H20+H22+H27+H28+H29+H30+H32+H33+H34+H38+H40+H46+H48+H49+H57+H59+H60+H61+H62+H72+H76</f>
        <v>312351241</v>
      </c>
      <c r="I121" s="144"/>
      <c r="J121" s="108">
        <f>J15+J19+J20+J22+J27+J28+J29+J30+J32+J33+J34+J38+J40+J46+J48+J49+J57+J59+J60+J61+J62+J72+J76</f>
        <v>360250133.44263595</v>
      </c>
      <c r="K121" s="120">
        <f>K15+K19+K20+K22+K27+K28+K29+K30+K32+K33+K34+K38+K40+K46+K48+K49+K57+K59+K60+K61+K62+K72+K76</f>
        <v>419316470.66000009</v>
      </c>
      <c r="L121" s="61">
        <f>L15+L19+L20+L22+L27+L28+L29+L30+L32+L33+L34+L38+L40+L46+L48+L49+L57+L59+L60+L61+L62+L72+L76</f>
        <v>341179802.27000004</v>
      </c>
      <c r="M121" s="181"/>
      <c r="N121" s="61">
        <f>N15+N19+N20+N22+N27+N28+N29+N30+N32+N33+N34+N38+N40+N46+N48+N49+N57+N59+N60+N61+N62+N72+N76</f>
        <v>383817441.34000009</v>
      </c>
      <c r="O121" s="61">
        <f>O15+O19+O20+O22+O27+O28+O29+O30+O32+O33+O34+O38+O40+O46+O48+O49+O57+O59+O60+O61+O62+O72+O76</f>
        <v>42637639.070000008</v>
      </c>
      <c r="P121" s="102">
        <f>P15+P19+P20+P22+P27+P28+P29+P30+P32+P33+P34+P38+P40+P46+P48+P49+P57+P59+P60+P61+P62+P72+P76</f>
        <v>35499029.32</v>
      </c>
      <c r="Q121" s="108">
        <f t="shared" ref="Q121:AI121" si="223">Q15+Q19+Q20+Q22+Q27+Q28+Q29+Q30+Q32+Q33+Q34+Q38+Q40+Q46+Q48+Q49+Q57+Q59+Q60+Q61+Q62+Q72+Q76</f>
        <v>351785406.27560115</v>
      </c>
      <c r="R121" s="61"/>
      <c r="S121" s="144">
        <f t="shared" si="223"/>
        <v>408803707.2700001</v>
      </c>
      <c r="T121" s="61"/>
      <c r="U121" s="61">
        <f t="shared" si="223"/>
        <v>333958158.24000007</v>
      </c>
      <c r="V121" s="61"/>
      <c r="W121" s="61">
        <f t="shared" si="223"/>
        <v>375432429.10000008</v>
      </c>
      <c r="X121" s="61">
        <f>X15+X19+X20+X22+X27+X28+X29+X30+X32+X33+X34+X38+X40+X46+X48+X49+X57+X59+X60+X61+X62+X72+X76</f>
        <v>41474270.859999992</v>
      </c>
      <c r="Y121" s="148">
        <f t="shared" si="223"/>
        <v>33371278.170000009</v>
      </c>
      <c r="Z121" s="102">
        <f t="shared" si="223"/>
        <v>415878668.29000014</v>
      </c>
      <c r="AA121" s="61">
        <f t="shared" si="223"/>
        <v>338515314.31000012</v>
      </c>
      <c r="AB121" s="61">
        <f t="shared" si="223"/>
        <v>380786675.77000016</v>
      </c>
      <c r="AC121" s="61">
        <f t="shared" si="223"/>
        <v>42271361.459999979</v>
      </c>
      <c r="AD121" s="148">
        <f t="shared" si="223"/>
        <v>35091992.520000011</v>
      </c>
      <c r="AE121" s="102">
        <f t="shared" si="223"/>
        <v>7074961.0199999996</v>
      </c>
      <c r="AF121" s="61">
        <f t="shared" si="223"/>
        <v>4557156.07</v>
      </c>
      <c r="AG121" s="61">
        <f t="shared" si="223"/>
        <v>5354246.67</v>
      </c>
      <c r="AH121" s="61">
        <f t="shared" si="223"/>
        <v>797090.59999999986</v>
      </c>
      <c r="AI121" s="148">
        <f t="shared" si="223"/>
        <v>1720714.3499999999</v>
      </c>
      <c r="AJ121" s="120"/>
      <c r="AK121" s="109"/>
    </row>
    <row r="122" spans="1:37" s="20" customFormat="1" ht="16.5">
      <c r="B122" s="80"/>
      <c r="C122" s="1"/>
      <c r="D122" s="1"/>
      <c r="E122" s="1"/>
      <c r="F122" s="81"/>
      <c r="G122" s="82"/>
      <c r="H122" s="82"/>
      <c r="I122" s="82"/>
      <c r="J122" s="82"/>
      <c r="K122" s="82"/>
      <c r="L122" s="82"/>
      <c r="M122" s="82"/>
      <c r="N122" s="83"/>
      <c r="O122" s="83"/>
      <c r="P122" s="83"/>
      <c r="Q122" s="83"/>
      <c r="R122" s="83"/>
      <c r="S122" s="83"/>
      <c r="T122" s="83"/>
      <c r="AF122" s="8"/>
      <c r="AG122" s="8"/>
      <c r="AH122" s="8"/>
      <c r="AI122" s="13"/>
      <c r="AJ122" s="13"/>
      <c r="AK122" s="13"/>
    </row>
    <row r="123" spans="1:37" s="20" customFormat="1" ht="16.5">
      <c r="A123" s="203" t="s">
        <v>287</v>
      </c>
      <c r="B123" s="80"/>
      <c r="C123" s="1"/>
      <c r="D123" s="1"/>
      <c r="E123" s="1"/>
      <c r="F123" s="81"/>
      <c r="G123" s="82"/>
      <c r="H123" s="82"/>
      <c r="I123" s="82"/>
      <c r="J123" s="82"/>
      <c r="K123" s="82"/>
      <c r="L123" s="82"/>
      <c r="M123" s="82"/>
      <c r="N123" s="83"/>
      <c r="O123" s="83"/>
      <c r="P123" s="83"/>
      <c r="Q123" s="83"/>
      <c r="R123" s="83"/>
      <c r="S123" s="83"/>
      <c r="T123" s="83"/>
      <c r="AF123" s="8"/>
      <c r="AG123" s="8"/>
      <c r="AH123" s="8"/>
      <c r="AI123" s="13"/>
      <c r="AJ123" s="13"/>
      <c r="AK123" s="13"/>
    </row>
    <row r="124" spans="1:37" s="20" customFormat="1" ht="16.5">
      <c r="B124" s="80"/>
      <c r="C124" s="1"/>
      <c r="D124" s="1"/>
      <c r="E124" s="1"/>
      <c r="F124" s="81"/>
      <c r="G124" s="82"/>
      <c r="H124" s="82"/>
      <c r="I124" s="82"/>
      <c r="J124" s="82"/>
      <c r="K124" s="82"/>
      <c r="L124" s="82"/>
      <c r="M124" s="82"/>
      <c r="N124" s="83"/>
      <c r="O124" s="83"/>
      <c r="P124" s="83"/>
      <c r="Q124" s="83"/>
      <c r="R124" s="83"/>
      <c r="S124" s="83"/>
      <c r="T124" s="83"/>
      <c r="AF124" s="8"/>
      <c r="AG124" s="8"/>
      <c r="AH124" s="8"/>
      <c r="AI124" s="13"/>
      <c r="AJ124" s="13"/>
      <c r="AK124" s="13"/>
    </row>
    <row r="125" spans="1:37" s="20" customFormat="1" ht="20.25" customHeight="1">
      <c r="A125" s="4">
        <v>1</v>
      </c>
      <c r="B125" s="80" t="s">
        <v>12</v>
      </c>
      <c r="C125" s="1"/>
      <c r="D125" s="1"/>
      <c r="E125" s="1"/>
      <c r="F125" s="81"/>
      <c r="G125" s="82"/>
      <c r="H125" s="82"/>
      <c r="I125" s="82"/>
      <c r="J125" s="82"/>
      <c r="K125" s="82"/>
      <c r="L125" s="82"/>
      <c r="M125" s="82"/>
      <c r="N125" s="83"/>
      <c r="O125" s="83"/>
      <c r="P125" s="83"/>
      <c r="Q125" s="83"/>
      <c r="R125" s="83"/>
      <c r="S125" s="83"/>
      <c r="T125" s="83"/>
      <c r="AF125" s="8"/>
      <c r="AG125" s="8"/>
      <c r="AH125" s="8"/>
      <c r="AI125" s="13"/>
      <c r="AJ125" s="13"/>
      <c r="AK125" s="13"/>
    </row>
    <row r="126" spans="1:37" s="20" customFormat="1" ht="16.5">
      <c r="A126" s="2"/>
      <c r="B126" s="80" t="s">
        <v>13</v>
      </c>
      <c r="C126" s="1"/>
      <c r="D126" s="1"/>
      <c r="E126" s="1"/>
      <c r="F126" s="81"/>
      <c r="G126" s="82"/>
      <c r="H126" s="82"/>
      <c r="I126" s="82"/>
      <c r="J126" s="82"/>
      <c r="K126" s="82"/>
      <c r="L126" s="82"/>
      <c r="M126" s="82"/>
      <c r="N126" s="83"/>
      <c r="O126" s="83"/>
      <c r="P126" s="83"/>
      <c r="Q126" s="83"/>
      <c r="R126" s="83"/>
      <c r="S126" s="83"/>
      <c r="T126" s="83"/>
      <c r="AF126" s="8"/>
      <c r="AG126" s="8"/>
      <c r="AH126" s="8"/>
      <c r="AI126" s="13"/>
      <c r="AJ126" s="13"/>
      <c r="AK126" s="13"/>
    </row>
    <row r="127" spans="1:37" s="20" customFormat="1" ht="16.5">
      <c r="A127" s="2"/>
      <c r="B127" s="80" t="s">
        <v>14</v>
      </c>
      <c r="C127" s="1"/>
      <c r="D127" s="1"/>
      <c r="E127" s="1"/>
      <c r="F127" s="81"/>
      <c r="G127" s="82"/>
      <c r="H127" s="82"/>
      <c r="I127" s="82"/>
      <c r="J127" s="82"/>
      <c r="K127" s="82"/>
      <c r="L127" s="82"/>
      <c r="M127" s="82"/>
      <c r="N127" s="83"/>
      <c r="O127" s="83"/>
      <c r="P127" s="83"/>
      <c r="Q127" s="83"/>
      <c r="R127" s="83"/>
      <c r="S127" s="83"/>
      <c r="T127" s="83"/>
      <c r="AF127" s="8"/>
      <c r="AG127" s="8"/>
      <c r="AH127" s="8"/>
      <c r="AI127" s="13"/>
      <c r="AJ127" s="13"/>
      <c r="AK127" s="13"/>
    </row>
    <row r="128" spans="1:37" s="20" customFormat="1" ht="16.5">
      <c r="A128" s="2"/>
      <c r="B128" s="80" t="s">
        <v>15</v>
      </c>
      <c r="C128" s="1"/>
      <c r="D128" s="1"/>
      <c r="E128" s="1"/>
      <c r="F128" s="81"/>
      <c r="G128" s="82"/>
      <c r="H128" s="82"/>
      <c r="I128" s="82"/>
      <c r="J128" s="82"/>
      <c r="K128" s="82"/>
      <c r="L128" s="82"/>
      <c r="M128" s="82"/>
      <c r="N128" s="83"/>
      <c r="O128" s="83"/>
      <c r="P128" s="83"/>
      <c r="Q128" s="83"/>
      <c r="R128" s="83"/>
      <c r="S128" s="83"/>
      <c r="T128" s="83"/>
      <c r="AF128" s="8"/>
      <c r="AG128" s="8"/>
      <c r="AH128" s="8"/>
      <c r="AI128" s="13"/>
      <c r="AJ128" s="13"/>
      <c r="AK128" s="13"/>
    </row>
    <row r="129" spans="1:37" s="20" customFormat="1" ht="33">
      <c r="A129" s="2"/>
      <c r="B129" s="80" t="s">
        <v>21</v>
      </c>
      <c r="C129" s="1"/>
      <c r="D129" s="1"/>
      <c r="E129" s="1"/>
      <c r="F129" s="81"/>
      <c r="G129" s="82"/>
      <c r="H129" s="82"/>
      <c r="I129" s="82"/>
      <c r="J129" s="82"/>
      <c r="K129" s="82"/>
      <c r="L129" s="82"/>
      <c r="M129" s="82"/>
      <c r="N129" s="83"/>
      <c r="O129" s="83"/>
      <c r="P129" s="83"/>
      <c r="Q129" s="83"/>
      <c r="R129" s="83"/>
      <c r="S129" s="83"/>
      <c r="T129" s="83"/>
      <c r="AF129" s="8"/>
      <c r="AG129" s="8"/>
      <c r="AH129" s="8"/>
      <c r="AI129" s="13"/>
      <c r="AJ129" s="13"/>
      <c r="AK129" s="13"/>
    </row>
    <row r="130" spans="1:37" s="20" customFormat="1" ht="16.5">
      <c r="A130" s="2"/>
      <c r="B130" s="80" t="s">
        <v>16</v>
      </c>
      <c r="C130" s="1"/>
      <c r="D130" s="1"/>
      <c r="E130" s="1"/>
      <c r="F130" s="81"/>
      <c r="G130" s="82"/>
      <c r="H130" s="82"/>
      <c r="I130" s="82"/>
      <c r="J130" s="82"/>
      <c r="K130" s="82"/>
      <c r="L130" s="82"/>
      <c r="M130" s="82"/>
      <c r="N130" s="83"/>
      <c r="O130" s="83"/>
      <c r="P130" s="83"/>
      <c r="Q130" s="83"/>
      <c r="R130" s="83"/>
      <c r="S130" s="83"/>
      <c r="T130" s="83"/>
      <c r="AF130" s="8"/>
      <c r="AG130" s="8"/>
      <c r="AH130" s="8"/>
      <c r="AI130" s="13"/>
      <c r="AJ130" s="13"/>
      <c r="AK130" s="13"/>
    </row>
    <row r="131" spans="1:37" s="20" customFormat="1" ht="16.5">
      <c r="A131" s="2"/>
      <c r="B131" s="80" t="s">
        <v>299</v>
      </c>
      <c r="C131" s="1"/>
      <c r="D131" s="1"/>
      <c r="E131" s="1"/>
      <c r="F131" s="81"/>
      <c r="G131" s="82"/>
      <c r="H131" s="82"/>
      <c r="I131" s="82"/>
      <c r="J131" s="82"/>
      <c r="K131" s="82"/>
      <c r="L131" s="82"/>
      <c r="M131" s="82"/>
      <c r="N131" s="83"/>
      <c r="O131" s="83"/>
      <c r="P131" s="83"/>
      <c r="Q131" s="83"/>
      <c r="R131" s="83"/>
      <c r="S131" s="83"/>
      <c r="T131" s="83"/>
      <c r="AF131" s="8"/>
      <c r="AG131" s="8"/>
      <c r="AH131" s="8"/>
      <c r="AI131" s="13"/>
      <c r="AJ131" s="13"/>
      <c r="AK131" s="13"/>
    </row>
    <row r="132" spans="1:37" s="20" customFormat="1" ht="16.5">
      <c r="A132" s="2"/>
      <c r="B132" s="80"/>
      <c r="C132" s="1"/>
      <c r="D132" s="1"/>
      <c r="E132" s="1"/>
      <c r="F132" s="81"/>
      <c r="G132" s="82"/>
      <c r="H132" s="82"/>
      <c r="I132" s="82"/>
      <c r="J132" s="82"/>
      <c r="K132" s="82"/>
      <c r="L132" s="82"/>
      <c r="M132" s="82"/>
      <c r="N132" s="83"/>
      <c r="O132" s="83"/>
      <c r="P132" s="83"/>
      <c r="Q132" s="83"/>
      <c r="R132" s="83"/>
      <c r="S132" s="83"/>
      <c r="T132" s="83"/>
      <c r="AF132" s="8"/>
      <c r="AG132" s="8"/>
      <c r="AH132" s="8"/>
      <c r="AI132" s="13"/>
      <c r="AJ132" s="13"/>
      <c r="AK132" s="13"/>
    </row>
    <row r="133" spans="1:37" s="20" customFormat="1" ht="39.75" customHeight="1">
      <c r="A133" s="2" t="s">
        <v>84</v>
      </c>
      <c r="B133" s="86"/>
      <c r="C133" s="86"/>
      <c r="D133" s="86"/>
      <c r="E133" s="86"/>
      <c r="F133" s="86"/>
      <c r="G133" s="84"/>
      <c r="H133" s="84"/>
      <c r="I133" s="84"/>
      <c r="J133" s="84"/>
      <c r="K133" s="84"/>
      <c r="L133" s="84"/>
      <c r="M133" s="84"/>
      <c r="N133" s="85"/>
      <c r="O133" s="85"/>
      <c r="P133" s="85"/>
      <c r="Q133" s="85"/>
      <c r="R133" s="85"/>
      <c r="S133" s="85"/>
      <c r="T133" s="85"/>
      <c r="AF133" s="77"/>
      <c r="AG133" s="77"/>
      <c r="AH133" s="77"/>
      <c r="AI133" s="9"/>
      <c r="AJ133" s="9"/>
      <c r="AK133" s="9"/>
    </row>
    <row r="134" spans="1:37" s="20" customFormat="1" ht="39.75" customHeight="1">
      <c r="A134" s="2" t="s">
        <v>264</v>
      </c>
      <c r="B134" s="86"/>
      <c r="C134" s="86"/>
      <c r="D134" s="86"/>
      <c r="E134" s="86"/>
      <c r="F134" s="86"/>
      <c r="G134" s="84"/>
      <c r="H134" s="84"/>
      <c r="I134" s="84"/>
      <c r="J134" s="84"/>
      <c r="K134" s="84"/>
      <c r="L134" s="84"/>
      <c r="M134" s="84"/>
      <c r="N134" s="85"/>
      <c r="O134" s="85"/>
      <c r="P134" s="85"/>
      <c r="Q134" s="85"/>
      <c r="R134" s="85"/>
      <c r="S134" s="85"/>
      <c r="T134" s="85"/>
      <c r="AF134" s="79"/>
      <c r="AG134" s="79"/>
      <c r="AH134" s="79"/>
      <c r="AI134" s="9"/>
      <c r="AJ134" s="9"/>
      <c r="AK134" s="9"/>
    </row>
    <row r="135" spans="1:37" s="20" customFormat="1" ht="39.75" customHeight="1">
      <c r="A135" s="2" t="s">
        <v>266</v>
      </c>
      <c r="B135" s="86"/>
      <c r="C135" s="86"/>
      <c r="D135" s="86"/>
      <c r="E135" s="86"/>
      <c r="F135" s="86"/>
      <c r="G135" s="84"/>
      <c r="H135" s="84"/>
      <c r="I135" s="84"/>
      <c r="J135" s="84"/>
      <c r="K135" s="84"/>
      <c r="L135" s="84"/>
      <c r="M135" s="84"/>
      <c r="N135" s="85"/>
      <c r="O135" s="85"/>
      <c r="P135" s="85"/>
      <c r="Q135" s="85"/>
      <c r="R135" s="85"/>
      <c r="S135" s="85"/>
      <c r="T135" s="85"/>
      <c r="AF135" s="79"/>
      <c r="AG135" s="79"/>
      <c r="AH135" s="79"/>
      <c r="AI135" s="9"/>
      <c r="AJ135" s="9"/>
      <c r="AK135" s="9"/>
    </row>
    <row r="136" spans="1:37" s="20" customFormat="1" ht="39.75" customHeight="1">
      <c r="A136" s="2" t="s">
        <v>297</v>
      </c>
      <c r="B136" s="86"/>
      <c r="C136" s="86"/>
      <c r="D136" s="86"/>
      <c r="E136" s="86"/>
      <c r="F136" s="86"/>
      <c r="G136" s="84"/>
      <c r="H136" s="84"/>
      <c r="I136" s="84"/>
      <c r="J136" s="84"/>
      <c r="K136" s="84"/>
      <c r="L136" s="84"/>
      <c r="M136" s="84"/>
      <c r="N136" s="85"/>
      <c r="O136" s="85"/>
      <c r="P136" s="85"/>
      <c r="Q136" s="85"/>
      <c r="R136" s="85"/>
      <c r="S136" s="85"/>
      <c r="T136" s="85"/>
      <c r="AF136" s="244"/>
      <c r="AG136" s="244"/>
      <c r="AH136" s="244"/>
      <c r="AI136" s="9"/>
      <c r="AJ136" s="9"/>
      <c r="AK136" s="9"/>
    </row>
    <row r="137" spans="1:37" s="20" customFormat="1" ht="40.5" customHeight="1">
      <c r="A137" s="268" t="s">
        <v>281</v>
      </c>
      <c r="B137" s="268"/>
      <c r="C137" s="268"/>
      <c r="D137" s="268"/>
      <c r="E137" s="268"/>
      <c r="F137" s="268"/>
      <c r="G137" s="268"/>
      <c r="H137" s="268"/>
      <c r="I137" s="268"/>
      <c r="J137" s="268"/>
      <c r="K137" s="268"/>
      <c r="L137" s="268"/>
      <c r="M137" s="87"/>
      <c r="N137" s="87"/>
      <c r="O137" s="87"/>
      <c r="P137" s="87"/>
      <c r="Q137" s="217"/>
      <c r="R137" s="246"/>
      <c r="S137" s="87"/>
      <c r="T137" s="87"/>
      <c r="AF137" s="9"/>
      <c r="AG137" s="9"/>
      <c r="AH137" s="9"/>
      <c r="AI137" s="9"/>
      <c r="AJ137" s="9"/>
      <c r="AK137" s="9"/>
    </row>
    <row r="138" spans="1:37" s="20" customFormat="1" ht="43.5" customHeight="1">
      <c r="A138" s="262" t="s">
        <v>316</v>
      </c>
      <c r="B138" s="262"/>
      <c r="C138" s="262"/>
      <c r="D138" s="262"/>
      <c r="E138" s="262"/>
      <c r="F138" s="262"/>
      <c r="G138" s="262"/>
      <c r="H138" s="262"/>
      <c r="I138" s="262"/>
      <c r="J138" s="262"/>
      <c r="K138" s="262"/>
      <c r="L138" s="262"/>
      <c r="M138" s="9"/>
      <c r="N138" s="9"/>
      <c r="O138" s="9"/>
      <c r="P138" s="9"/>
      <c r="Q138" s="9"/>
      <c r="R138" s="9"/>
      <c r="S138" s="15"/>
      <c r="T138" s="15"/>
      <c r="U138" s="15"/>
      <c r="V138" s="15"/>
      <c r="W138" s="15"/>
      <c r="X138" s="15"/>
      <c r="Y138" s="9"/>
      <c r="Z138" s="15"/>
      <c r="AA138" s="15"/>
      <c r="AB138" s="15"/>
      <c r="AC138" s="15"/>
      <c r="AD138" s="9"/>
      <c r="AE138" s="15"/>
      <c r="AF138" s="15"/>
      <c r="AG138" s="15"/>
      <c r="AH138" s="15"/>
      <c r="AI138" s="9"/>
      <c r="AJ138" s="9"/>
      <c r="AK138" s="9"/>
    </row>
    <row r="139" spans="1:37" s="20" customFormat="1" ht="22.5" customHeight="1">
      <c r="A139" s="2"/>
      <c r="B139" s="3"/>
      <c r="C139" s="3"/>
      <c r="D139" s="3"/>
      <c r="E139" s="45"/>
      <c r="F139" s="3"/>
      <c r="G139" s="3"/>
      <c r="H139" s="3"/>
      <c r="I139" s="3"/>
      <c r="J139" s="3"/>
      <c r="K139" s="9"/>
      <c r="L139" s="9"/>
      <c r="M139" s="9"/>
      <c r="N139" s="9"/>
      <c r="O139" s="9"/>
      <c r="P139" s="9"/>
      <c r="Q139" s="9"/>
      <c r="R139" s="9"/>
      <c r="S139" s="10"/>
      <c r="T139" s="10"/>
      <c r="U139" s="10"/>
      <c r="V139" s="10"/>
      <c r="W139" s="10"/>
      <c r="X139" s="10"/>
      <c r="Y139" s="9"/>
      <c r="Z139" s="10"/>
      <c r="AA139" s="10"/>
      <c r="AB139" s="10"/>
      <c r="AC139" s="10"/>
      <c r="AD139" s="9"/>
      <c r="AE139" s="10"/>
      <c r="AF139" s="10"/>
      <c r="AG139" s="10"/>
      <c r="AH139" s="10"/>
      <c r="AI139" s="9"/>
      <c r="AJ139" s="9"/>
      <c r="AK139" s="9"/>
    </row>
    <row r="140" spans="1:37" s="20" customFormat="1" ht="20.25" customHeight="1">
      <c r="A140" s="5"/>
      <c r="B140" s="22"/>
      <c r="C140" s="22"/>
      <c r="D140" s="22"/>
      <c r="E140" s="44"/>
      <c r="F140" s="22"/>
      <c r="G140" s="66"/>
      <c r="H140" s="67"/>
      <c r="I140" s="79"/>
      <c r="J140" s="215"/>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row>
    <row r="141" spans="1:37" s="20" customFormat="1" ht="22.5" customHeight="1">
      <c r="A141" s="2"/>
      <c r="B141" s="22"/>
      <c r="C141" s="22"/>
      <c r="D141" s="22"/>
      <c r="E141" s="44"/>
      <c r="F141" s="22"/>
      <c r="G141" s="66"/>
      <c r="H141" s="67"/>
      <c r="I141" s="79"/>
      <c r="J141" s="215"/>
      <c r="K141" s="9"/>
      <c r="L141" s="9"/>
      <c r="M141" s="9"/>
      <c r="N141" s="9"/>
      <c r="O141" s="9"/>
      <c r="P141" s="9"/>
      <c r="Q141" s="9"/>
      <c r="R141" s="9"/>
      <c r="S141" s="9"/>
      <c r="T141" s="9"/>
      <c r="U141" s="9"/>
      <c r="V141" s="9"/>
      <c r="W141" s="9"/>
      <c r="X141" s="9"/>
      <c r="Y141" s="9"/>
      <c r="Z141" s="9"/>
      <c r="AA141" s="9"/>
      <c r="AB141" s="9"/>
      <c r="AC141" s="9"/>
      <c r="AD141" s="9"/>
      <c r="AE141" s="9"/>
      <c r="AF141" s="9"/>
      <c r="AG141" s="9"/>
      <c r="AH141" s="9"/>
      <c r="AI141" s="9"/>
      <c r="AJ141" s="9"/>
      <c r="AK141" s="9"/>
    </row>
    <row r="142" spans="1:37" s="20" customFormat="1" ht="22.5" customHeight="1">
      <c r="A142" s="15"/>
      <c r="B142" s="15"/>
      <c r="C142" s="15"/>
      <c r="D142" s="15"/>
      <c r="E142" s="15"/>
      <c r="F142" s="15"/>
      <c r="G142" s="15"/>
      <c r="H142" s="15"/>
      <c r="I142" s="15"/>
      <c r="J142" s="15"/>
      <c r="K142" s="9"/>
      <c r="L142" s="9"/>
      <c r="M142" s="9"/>
      <c r="N142" s="9"/>
      <c r="O142" s="9"/>
      <c r="P142" s="9"/>
      <c r="Q142" s="9"/>
      <c r="R142" s="9"/>
      <c r="S142" s="15"/>
      <c r="T142" s="15"/>
      <c r="U142" s="15"/>
      <c r="V142" s="15"/>
      <c r="W142" s="15"/>
      <c r="X142" s="15"/>
      <c r="Y142" s="9"/>
      <c r="Z142" s="15"/>
      <c r="AA142" s="15"/>
      <c r="AB142" s="15"/>
      <c r="AC142" s="15"/>
      <c r="AD142" s="9"/>
      <c r="AE142" s="15"/>
      <c r="AF142" s="15"/>
      <c r="AG142" s="15"/>
      <c r="AH142" s="15"/>
      <c r="AI142" s="9"/>
      <c r="AJ142" s="9"/>
      <c r="AK142" s="9"/>
    </row>
    <row r="143" spans="1:37" s="20" customFormat="1" ht="21" customHeight="1">
      <c r="A143" s="22"/>
      <c r="B143" s="22"/>
      <c r="C143" s="22"/>
      <c r="D143" s="22"/>
      <c r="E143" s="30"/>
      <c r="F143" s="22"/>
      <c r="G143" s="66"/>
      <c r="H143" s="67"/>
      <c r="I143" s="79"/>
      <c r="J143" s="215"/>
      <c r="K143" s="75"/>
      <c r="L143" s="75"/>
      <c r="M143" s="77"/>
      <c r="N143" s="75"/>
      <c r="O143" s="75"/>
      <c r="P143" s="75"/>
      <c r="Q143" s="218"/>
      <c r="R143" s="245"/>
      <c r="S143" s="69"/>
      <c r="T143" s="75"/>
      <c r="U143" s="62"/>
      <c r="V143" s="73"/>
      <c r="W143" s="62"/>
      <c r="X143" s="75"/>
      <c r="Y143" s="64"/>
      <c r="Z143" s="77"/>
      <c r="AA143" s="77"/>
      <c r="AB143" s="77"/>
      <c r="AC143" s="77"/>
      <c r="AD143" s="77"/>
      <c r="AE143" s="77"/>
      <c r="AF143" s="77"/>
      <c r="AG143" s="77"/>
      <c r="AH143" s="77"/>
      <c r="AI143" s="77"/>
      <c r="AJ143" s="68"/>
      <c r="AK143" s="68"/>
    </row>
    <row r="144" spans="1:37" s="20" customFormat="1" ht="51" customHeight="1">
      <c r="A144" s="22"/>
      <c r="B144" s="22"/>
      <c r="C144" s="22"/>
      <c r="D144" s="22"/>
      <c r="E144" s="30"/>
      <c r="F144" s="22"/>
      <c r="G144" s="66"/>
      <c r="H144" s="67"/>
      <c r="I144" s="79"/>
      <c r="J144" s="215"/>
      <c r="K144" s="75"/>
      <c r="L144" s="75"/>
      <c r="M144" s="77"/>
      <c r="N144" s="75"/>
      <c r="O144" s="75"/>
      <c r="P144" s="75"/>
      <c r="Q144" s="218"/>
      <c r="R144" s="245"/>
      <c r="S144" s="69"/>
      <c r="T144" s="75"/>
      <c r="U144" s="62"/>
      <c r="V144" s="73"/>
      <c r="W144" s="62"/>
      <c r="X144" s="75"/>
      <c r="Y144" s="64"/>
      <c r="Z144" s="77"/>
      <c r="AA144" s="77"/>
      <c r="AB144" s="77"/>
      <c r="AC144" s="77"/>
      <c r="AD144" s="77"/>
      <c r="AE144" s="77"/>
      <c r="AF144" s="77"/>
      <c r="AG144" s="77"/>
      <c r="AH144" s="77"/>
      <c r="AI144" s="77"/>
      <c r="AJ144" s="68"/>
      <c r="AK144" s="68"/>
    </row>
    <row r="145" spans="1:37" s="20" customFormat="1" ht="24" customHeight="1">
      <c r="A145" s="22"/>
      <c r="B145" s="22"/>
      <c r="C145" s="22"/>
      <c r="D145" s="22"/>
      <c r="E145" s="44"/>
      <c r="F145" s="22"/>
      <c r="G145" s="66"/>
      <c r="H145" s="67"/>
      <c r="I145" s="79"/>
      <c r="J145" s="215"/>
      <c r="K145" s="9"/>
      <c r="L145" s="9"/>
      <c r="M145" s="9"/>
      <c r="N145" s="9"/>
      <c r="O145" s="9"/>
      <c r="P145" s="9"/>
      <c r="Q145" s="9"/>
      <c r="R145" s="9"/>
      <c r="S145" s="9"/>
      <c r="T145" s="9"/>
      <c r="U145" s="9"/>
      <c r="V145" s="9"/>
      <c r="W145" s="9"/>
      <c r="X145" s="9"/>
      <c r="Y145" s="9"/>
      <c r="Z145" s="9"/>
      <c r="AA145" s="9"/>
      <c r="AB145" s="9"/>
      <c r="AC145" s="9"/>
      <c r="AD145" s="9"/>
      <c r="AE145" s="9"/>
      <c r="AF145" s="9"/>
      <c r="AG145" s="9"/>
      <c r="AH145" s="9"/>
      <c r="AI145" s="9"/>
      <c r="AJ145" s="9"/>
      <c r="AK145" s="9"/>
    </row>
    <row r="146" spans="1:37" s="20" customFormat="1" ht="22.5" customHeight="1">
      <c r="A146" s="15"/>
      <c r="B146" s="15"/>
      <c r="C146" s="15"/>
      <c r="D146" s="15"/>
      <c r="E146" s="15"/>
      <c r="F146" s="15"/>
      <c r="G146" s="15"/>
      <c r="H146" s="15"/>
      <c r="I146" s="15"/>
      <c r="J146" s="15"/>
      <c r="K146" s="9"/>
      <c r="L146" s="9"/>
      <c r="M146" s="9"/>
      <c r="N146" s="9"/>
      <c r="O146" s="9"/>
      <c r="P146" s="9"/>
      <c r="Q146" s="9"/>
      <c r="R146" s="9"/>
      <c r="S146" s="15"/>
      <c r="T146" s="15"/>
      <c r="U146" s="15"/>
      <c r="V146" s="15"/>
      <c r="W146" s="15"/>
      <c r="X146" s="15"/>
      <c r="Y146" s="9"/>
      <c r="Z146" s="15"/>
      <c r="AA146" s="15"/>
      <c r="AB146" s="15"/>
      <c r="AC146" s="15"/>
      <c r="AD146" s="9"/>
      <c r="AE146" s="15"/>
      <c r="AF146" s="15"/>
      <c r="AG146" s="15"/>
      <c r="AH146" s="15"/>
      <c r="AI146" s="9"/>
      <c r="AJ146" s="9"/>
      <c r="AK146" s="9"/>
    </row>
    <row r="147" spans="1:37" s="20" customFormat="1" ht="22.5" customHeight="1">
      <c r="A147" s="6"/>
      <c r="B147" s="15"/>
      <c r="C147" s="15"/>
      <c r="D147" s="15"/>
      <c r="E147" s="46"/>
      <c r="F147" s="15"/>
      <c r="G147" s="15"/>
      <c r="H147" s="15"/>
      <c r="I147" s="15"/>
      <c r="J147" s="15"/>
      <c r="K147" s="9"/>
      <c r="L147" s="9"/>
      <c r="M147" s="9"/>
      <c r="N147" s="9"/>
      <c r="O147" s="9"/>
      <c r="P147" s="9"/>
      <c r="Q147" s="9"/>
      <c r="R147" s="9"/>
      <c r="S147" s="11"/>
      <c r="T147" s="11"/>
      <c r="U147" s="11"/>
      <c r="V147" s="11"/>
      <c r="W147" s="11"/>
      <c r="X147" s="11"/>
      <c r="Y147" s="9"/>
      <c r="Z147" s="11"/>
      <c r="AA147" s="11"/>
      <c r="AB147" s="11"/>
      <c r="AC147" s="11"/>
      <c r="AD147" s="9"/>
      <c r="AE147" s="11"/>
      <c r="AF147" s="11"/>
      <c r="AG147" s="11"/>
      <c r="AH147" s="11"/>
      <c r="AI147" s="9"/>
      <c r="AJ147" s="9"/>
      <c r="AK147" s="9"/>
    </row>
    <row r="148" spans="1:37" s="20" customFormat="1" ht="22.5" customHeight="1">
      <c r="A148" s="6"/>
      <c r="B148" s="15"/>
      <c r="C148" s="15"/>
      <c r="D148" s="15"/>
      <c r="E148" s="46"/>
      <c r="F148" s="15"/>
      <c r="G148" s="15"/>
      <c r="H148" s="15"/>
      <c r="I148" s="15"/>
      <c r="J148" s="15"/>
      <c r="K148" s="9"/>
      <c r="L148" s="9"/>
      <c r="M148" s="9"/>
      <c r="N148" s="9"/>
      <c r="O148" s="9"/>
      <c r="P148" s="9"/>
      <c r="Q148" s="9"/>
      <c r="R148" s="9"/>
      <c r="S148" s="11"/>
      <c r="T148" s="11"/>
      <c r="U148" s="11"/>
      <c r="V148" s="11"/>
      <c r="W148" s="11"/>
      <c r="X148" s="11"/>
      <c r="Y148" s="9"/>
      <c r="Z148" s="11"/>
      <c r="AA148" s="11"/>
      <c r="AB148" s="11"/>
      <c r="AC148" s="11"/>
      <c r="AD148" s="9"/>
      <c r="AE148" s="11"/>
      <c r="AF148" s="11"/>
      <c r="AG148" s="11"/>
      <c r="AH148" s="11"/>
      <c r="AI148" s="9"/>
      <c r="AJ148" s="9"/>
      <c r="AK148" s="9"/>
    </row>
    <row r="149" spans="1:37" s="21" customFormat="1" ht="27.75" customHeight="1">
      <c r="A149" s="6"/>
      <c r="E149" s="47"/>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row>
    <row r="150" spans="1:37" s="21" customFormat="1" ht="27.75" customHeight="1">
      <c r="A150" s="6"/>
      <c r="E150" s="47"/>
      <c r="K150" s="14"/>
      <c r="L150" s="14"/>
      <c r="M150" s="14"/>
      <c r="N150" s="14"/>
      <c r="O150" s="14"/>
      <c r="P150" s="14"/>
      <c r="Q150" s="14"/>
      <c r="R150" s="14"/>
      <c r="S150" s="14"/>
      <c r="T150" s="14"/>
      <c r="U150" s="14"/>
      <c r="V150" s="14"/>
      <c r="W150" s="14"/>
      <c r="X150" s="14"/>
      <c r="Y150" s="14"/>
      <c r="Z150" s="14"/>
      <c r="AA150" s="14"/>
      <c r="AB150" s="14"/>
      <c r="AC150" s="14"/>
      <c r="AD150" s="14"/>
      <c r="AE150" s="14"/>
      <c r="AF150" s="14"/>
      <c r="AG150" s="14"/>
      <c r="AH150" s="14"/>
      <c r="AI150" s="14"/>
      <c r="AJ150" s="14"/>
      <c r="AK150" s="14"/>
    </row>
    <row r="151" spans="1:37" s="21" customFormat="1" ht="23.25" customHeight="1">
      <c r="A151" s="22"/>
      <c r="B151" s="22"/>
      <c r="C151" s="22"/>
      <c r="D151" s="22"/>
      <c r="E151" s="30"/>
      <c r="F151" s="22"/>
      <c r="G151" s="66"/>
      <c r="H151" s="67"/>
      <c r="I151" s="79"/>
      <c r="J151" s="215"/>
      <c r="K151" s="75"/>
      <c r="L151" s="75"/>
      <c r="M151" s="77"/>
      <c r="N151" s="75"/>
      <c r="O151" s="75"/>
      <c r="P151" s="75"/>
      <c r="Q151" s="218"/>
      <c r="R151" s="245"/>
      <c r="S151" s="69"/>
      <c r="T151" s="75"/>
      <c r="U151" s="62"/>
      <c r="V151" s="73"/>
      <c r="W151" s="62"/>
      <c r="X151" s="75"/>
      <c r="Y151" s="64"/>
      <c r="Z151" s="77"/>
      <c r="AA151" s="77"/>
      <c r="AB151" s="77"/>
      <c r="AC151" s="77"/>
      <c r="AD151" s="77"/>
      <c r="AE151" s="77"/>
      <c r="AF151" s="77"/>
      <c r="AG151" s="77"/>
      <c r="AH151" s="77"/>
      <c r="AI151" s="77"/>
      <c r="AJ151" s="68"/>
      <c r="AK151" s="68"/>
    </row>
    <row r="152" spans="1:37" s="21" customFormat="1" ht="23.25" customHeight="1">
      <c r="A152" s="22"/>
      <c r="B152" s="22"/>
      <c r="C152" s="22"/>
      <c r="D152" s="22"/>
      <c r="E152" s="30"/>
      <c r="F152" s="22"/>
      <c r="G152" s="66"/>
      <c r="H152" s="67"/>
      <c r="I152" s="79"/>
      <c r="J152" s="215"/>
      <c r="K152" s="75"/>
      <c r="L152" s="75"/>
      <c r="M152" s="77"/>
      <c r="N152" s="75"/>
      <c r="O152" s="75"/>
      <c r="P152" s="75"/>
      <c r="Q152" s="218"/>
      <c r="R152" s="245"/>
      <c r="S152" s="69"/>
      <c r="T152" s="75"/>
      <c r="U152" s="62"/>
      <c r="V152" s="73"/>
      <c r="W152" s="62"/>
      <c r="X152" s="75"/>
      <c r="Y152" s="64"/>
      <c r="Z152" s="77"/>
      <c r="AA152" s="77"/>
      <c r="AB152" s="77"/>
      <c r="AC152" s="77"/>
      <c r="AD152" s="77"/>
      <c r="AE152" s="77"/>
      <c r="AF152" s="77"/>
      <c r="AG152" s="77"/>
      <c r="AH152" s="77"/>
      <c r="AI152" s="77"/>
      <c r="AJ152" s="68"/>
      <c r="AK152" s="68"/>
    </row>
    <row r="153" spans="1:37" s="21" customFormat="1" ht="17.25" customHeight="1">
      <c r="A153" s="22"/>
      <c r="B153" s="22"/>
      <c r="C153" s="22"/>
      <c r="D153" s="22"/>
      <c r="E153" s="30"/>
      <c r="F153" s="22"/>
      <c r="G153" s="66"/>
      <c r="H153" s="67"/>
      <c r="I153" s="79"/>
      <c r="J153" s="215"/>
      <c r="K153" s="75"/>
      <c r="L153" s="75"/>
      <c r="M153" s="77"/>
      <c r="N153" s="75"/>
      <c r="O153" s="75"/>
      <c r="P153" s="75"/>
      <c r="Q153" s="218"/>
      <c r="R153" s="245"/>
      <c r="S153" s="69"/>
      <c r="T153" s="75"/>
      <c r="U153" s="62"/>
      <c r="V153" s="73"/>
      <c r="W153" s="62"/>
      <c r="X153" s="75"/>
      <c r="Y153" s="64"/>
      <c r="Z153" s="77"/>
      <c r="AA153" s="77"/>
      <c r="AB153" s="77"/>
      <c r="AC153" s="77"/>
      <c r="AD153" s="77"/>
      <c r="AE153" s="77"/>
      <c r="AF153" s="77"/>
      <c r="AG153" s="77"/>
      <c r="AH153" s="77"/>
      <c r="AI153" s="77"/>
      <c r="AJ153" s="68"/>
      <c r="AK153" s="68"/>
    </row>
    <row r="154" spans="1:37" s="20" customFormat="1" ht="15.75" customHeight="1">
      <c r="A154" s="7"/>
      <c r="B154" s="19"/>
      <c r="E154" s="43"/>
      <c r="K154" s="29"/>
      <c r="L154" s="29"/>
      <c r="M154" s="29"/>
      <c r="N154" s="29"/>
      <c r="O154" s="29"/>
      <c r="P154" s="29"/>
      <c r="Q154" s="29"/>
      <c r="R154" s="29"/>
      <c r="S154" s="29"/>
      <c r="T154" s="29"/>
      <c r="U154" s="29"/>
      <c r="V154" s="29"/>
      <c r="W154" s="29"/>
      <c r="X154" s="29"/>
      <c r="Y154" s="29"/>
      <c r="Z154" s="29"/>
      <c r="AA154" s="29"/>
      <c r="AB154" s="29"/>
      <c r="AC154" s="29"/>
      <c r="AD154" s="29"/>
      <c r="AE154" s="29"/>
      <c r="AF154" s="29"/>
      <c r="AG154" s="29"/>
      <c r="AH154" s="29"/>
      <c r="AI154" s="29"/>
      <c r="AJ154" s="29"/>
      <c r="AK154" s="29"/>
    </row>
    <row r="155" spans="1:37" ht="16.5">
      <c r="A155" s="7"/>
      <c r="B155" s="16"/>
    </row>
    <row r="156" spans="1:37">
      <c r="B156" s="16"/>
    </row>
  </sheetData>
  <mergeCells count="44">
    <mergeCell ref="A2:AK2"/>
    <mergeCell ref="S6:T6"/>
    <mergeCell ref="U6:V6"/>
    <mergeCell ref="A5:A7"/>
    <mergeCell ref="B5:B7"/>
    <mergeCell ref="C5:C7"/>
    <mergeCell ref="D5:D7"/>
    <mergeCell ref="E5:E7"/>
    <mergeCell ref="F5:F7"/>
    <mergeCell ref="AJ5:AK5"/>
    <mergeCell ref="G6:G7"/>
    <mergeCell ref="H6:H7"/>
    <mergeCell ref="I5:I7"/>
    <mergeCell ref="G5:H5"/>
    <mergeCell ref="J5:P5"/>
    <mergeCell ref="J6:J7"/>
    <mergeCell ref="A138:L138"/>
    <mergeCell ref="Y6:Y7"/>
    <mergeCell ref="AK6:AK7"/>
    <mergeCell ref="K6:K7"/>
    <mergeCell ref="N6:N7"/>
    <mergeCell ref="P6:P7"/>
    <mergeCell ref="O6:O7"/>
    <mergeCell ref="W6:W7"/>
    <mergeCell ref="X6:X7"/>
    <mergeCell ref="L6:M6"/>
    <mergeCell ref="AJ6:AJ7"/>
    <mergeCell ref="A137:L137"/>
    <mergeCell ref="Q6:Q7"/>
    <mergeCell ref="R6:R7"/>
    <mergeCell ref="Q5:Y5"/>
    <mergeCell ref="Z4:AI4"/>
    <mergeCell ref="Z6:Z7"/>
    <mergeCell ref="AA6:AA7"/>
    <mergeCell ref="AE6:AE7"/>
    <mergeCell ref="AF6:AF7"/>
    <mergeCell ref="AE5:AI5"/>
    <mergeCell ref="AG6:AG7"/>
    <mergeCell ref="AH6:AH7"/>
    <mergeCell ref="AI6:AI7"/>
    <mergeCell ref="Z5:AD5"/>
    <mergeCell ref="AB6:AB7"/>
    <mergeCell ref="AC6:AC7"/>
    <mergeCell ref="AD6:AD7"/>
  </mergeCells>
  <pageMargins left="7.874015748031496E-2" right="7.874015748031496E-2" top="0.27559055118110237" bottom="0.31496062992125984" header="0.11811023622047245" footer="0.31496062992125984"/>
  <pageSetup paperSize="8" scale="34" fitToHeight="0" orientation="landscape" r:id="rId1"/>
  <headerFooter>
    <oddHeader>&amp;R&amp;"Times New Roman,Regular"1.Pielikums</oddHeader>
    <oddFooter>Page &amp;P</oddFooter>
  </headerFooter>
  <rowBreaks count="4" manualBreakCount="4">
    <brk id="34" max="35" man="1"/>
    <brk id="58" max="35" man="1"/>
    <brk id="86" max="35" man="1"/>
    <brk id="114" max="35"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workbookViewId="0">
      <selection activeCell="D7" sqref="D7:D8"/>
    </sheetView>
  </sheetViews>
  <sheetFormatPr defaultRowHeight="15"/>
  <cols>
    <col min="5" max="5" width="2.28515625" customWidth="1"/>
  </cols>
  <sheetData>
    <row r="1" spans="1:10">
      <c r="B1" t="s">
        <v>25</v>
      </c>
      <c r="C1" t="s">
        <v>26</v>
      </c>
      <c r="D1" t="s">
        <v>27</v>
      </c>
      <c r="F1" t="s">
        <v>25</v>
      </c>
      <c r="G1" t="s">
        <v>26</v>
      </c>
      <c r="H1" t="s">
        <v>27</v>
      </c>
    </row>
    <row r="2" spans="1:10">
      <c r="A2" t="s">
        <v>18</v>
      </c>
      <c r="B2">
        <f>F2/0.702804</f>
        <v>754896.01652807894</v>
      </c>
      <c r="C2">
        <f t="shared" ref="C2:D2" si="0">G2/0.702804</f>
        <v>754896.01652807894</v>
      </c>
      <c r="D2">
        <f t="shared" si="0"/>
        <v>0</v>
      </c>
      <c r="F2">
        <v>530543.93999999994</v>
      </c>
      <c r="G2">
        <v>530543.93999999994</v>
      </c>
      <c r="H2">
        <v>0</v>
      </c>
      <c r="J2">
        <v>0.70280399999999998</v>
      </c>
    </row>
    <row r="3" spans="1:10">
      <c r="A3" t="s">
        <v>24</v>
      </c>
      <c r="B3">
        <f t="shared" ref="B3:B5" si="1">F3/0.702804</f>
        <v>1351037.0316617435</v>
      </c>
      <c r="C3">
        <f t="shared" ref="C3:C5" si="2">G3/0.702804</f>
        <v>1770646.8375251137</v>
      </c>
      <c r="D3">
        <f t="shared" ref="D3:D5" si="3">H3/0.702804</f>
        <v>419609.80586337019</v>
      </c>
      <c r="F3">
        <v>949514.23</v>
      </c>
      <c r="G3">
        <v>1244417.68</v>
      </c>
      <c r="H3">
        <v>294903.45</v>
      </c>
    </row>
    <row r="4" spans="1:10">
      <c r="A4" t="s">
        <v>4</v>
      </c>
      <c r="B4">
        <f t="shared" si="1"/>
        <v>3281360.507339173</v>
      </c>
      <c r="C4">
        <f t="shared" si="2"/>
        <v>3281360.507339173</v>
      </c>
      <c r="D4">
        <f t="shared" si="3"/>
        <v>0</v>
      </c>
      <c r="F4">
        <v>2306153.29</v>
      </c>
      <c r="G4">
        <v>2306153.29</v>
      </c>
      <c r="H4">
        <v>0</v>
      </c>
    </row>
    <row r="5" spans="1:10">
      <c r="A5" t="s">
        <v>17</v>
      </c>
      <c r="B5">
        <f t="shared" si="1"/>
        <v>4787372.8806324387</v>
      </c>
      <c r="C5">
        <f t="shared" si="2"/>
        <v>4787372.8806324387</v>
      </c>
      <c r="D5">
        <f t="shared" si="3"/>
        <v>0</v>
      </c>
      <c r="F5">
        <v>3364584.81</v>
      </c>
      <c r="G5">
        <v>3364584.81</v>
      </c>
      <c r="H5">
        <v>0</v>
      </c>
    </row>
    <row r="7" spans="1:10">
      <c r="A7" t="s">
        <v>20</v>
      </c>
      <c r="B7">
        <f>F7/0.702804</f>
        <v>2664842.9434095426</v>
      </c>
      <c r="C7">
        <f t="shared" ref="C7:D7" si="4">G7/0.702804</f>
        <v>3063052.5438102232</v>
      </c>
      <c r="D7">
        <f t="shared" si="4"/>
        <v>398209.60040068068</v>
      </c>
      <c r="F7">
        <v>1872862.28</v>
      </c>
      <c r="G7">
        <v>2152725.58</v>
      </c>
      <c r="H7">
        <v>279863.3</v>
      </c>
    </row>
    <row r="8" spans="1:10">
      <c r="A8" t="s">
        <v>23</v>
      </c>
      <c r="B8">
        <f>F8/0.702804</f>
        <v>1165710.5821822302</v>
      </c>
      <c r="C8">
        <f t="shared" ref="C8" si="5">G8/0.702804</f>
        <v>1424383.3273572719</v>
      </c>
      <c r="D8">
        <f t="shared" ref="D8" si="6">H8/0.702804</f>
        <v>258672.74517504169</v>
      </c>
      <c r="F8">
        <v>819266.06</v>
      </c>
      <c r="G8">
        <v>1001062.3</v>
      </c>
      <c r="H8">
        <v>181796.24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B10" sqref="B10"/>
    </sheetView>
  </sheetViews>
  <sheetFormatPr defaultRowHeight="15"/>
  <cols>
    <col min="2" max="2" width="62" customWidth="1"/>
  </cols>
  <sheetData>
    <row r="1" spans="1:2" ht="15.75">
      <c r="A1" s="48"/>
      <c r="B1" s="49" t="s">
        <v>34</v>
      </c>
    </row>
    <row r="2" spans="1:2" ht="15.75">
      <c r="A2" s="50">
        <v>1</v>
      </c>
      <c r="B2" s="51" t="s">
        <v>35</v>
      </c>
    </row>
    <row r="3" spans="1:2" ht="31.5">
      <c r="A3" s="50">
        <v>2</v>
      </c>
      <c r="B3" s="51" t="s">
        <v>36</v>
      </c>
    </row>
    <row r="4" spans="1:2" ht="15.75">
      <c r="A4" s="50">
        <v>3</v>
      </c>
      <c r="B4" s="51" t="s">
        <v>37</v>
      </c>
    </row>
    <row r="5" spans="1:2" ht="15.75">
      <c r="A5" s="50">
        <v>4</v>
      </c>
      <c r="B5" s="51" t="s">
        <v>38</v>
      </c>
    </row>
    <row r="6" spans="1:2" ht="15.75">
      <c r="A6" s="50">
        <v>5</v>
      </c>
      <c r="B6" s="51" t="s">
        <v>39</v>
      </c>
    </row>
    <row r="7" spans="1:2" ht="31.5">
      <c r="A7" s="50">
        <v>6</v>
      </c>
      <c r="B7" s="51" t="s">
        <v>40</v>
      </c>
    </row>
    <row r="8" spans="1:2" ht="15.75">
      <c r="A8" s="50">
        <v>7</v>
      </c>
      <c r="B8" s="51" t="s">
        <v>41</v>
      </c>
    </row>
    <row r="9" spans="1:2" ht="31.5">
      <c r="A9" s="50">
        <v>8</v>
      </c>
      <c r="B9" s="51" t="s">
        <v>42</v>
      </c>
    </row>
    <row r="10" spans="1:2" ht="31.5">
      <c r="A10" s="50">
        <v>9</v>
      </c>
      <c r="B10" s="51" t="s">
        <v>43</v>
      </c>
    </row>
    <row r="11" spans="1:2" ht="15.75">
      <c r="A11" s="50">
        <v>10</v>
      </c>
      <c r="B11" s="51" t="s">
        <v>44</v>
      </c>
    </row>
    <row r="12" spans="1:2" ht="15.75">
      <c r="A12" s="50">
        <v>11</v>
      </c>
      <c r="B12" s="51" t="s">
        <v>45</v>
      </c>
    </row>
    <row r="13" spans="1:2" ht="31.5">
      <c r="A13" s="50">
        <v>12</v>
      </c>
      <c r="B13" s="51" t="s">
        <v>46</v>
      </c>
    </row>
    <row r="14" spans="1:2" ht="15.75">
      <c r="A14" s="50">
        <v>13</v>
      </c>
      <c r="B14" s="51" t="s">
        <v>47</v>
      </c>
    </row>
    <row r="15" spans="1:2" ht="31.5">
      <c r="A15" s="50">
        <v>14</v>
      </c>
      <c r="B15" s="51" t="s">
        <v>48</v>
      </c>
    </row>
    <row r="16" spans="1:2" ht="15.75">
      <c r="A16" s="50">
        <v>15</v>
      </c>
      <c r="B16" s="51" t="s">
        <v>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workbookViewId="0">
      <selection activeCell="B10" sqref="B10"/>
    </sheetView>
  </sheetViews>
  <sheetFormatPr defaultRowHeight="15"/>
  <cols>
    <col min="1" max="1" width="8.85546875" style="55"/>
    <col min="2" max="2" width="88.7109375" customWidth="1"/>
  </cols>
  <sheetData>
    <row r="1" spans="1:2" ht="15.75">
      <c r="A1" s="294" t="s">
        <v>50</v>
      </c>
      <c r="B1" s="294"/>
    </row>
    <row r="2" spans="1:2" ht="31.5">
      <c r="A2" s="54">
        <v>1</v>
      </c>
      <c r="B2" s="52" t="s">
        <v>53</v>
      </c>
    </row>
    <row r="3" spans="1:2" ht="31.5">
      <c r="A3" s="54">
        <v>2</v>
      </c>
      <c r="B3" s="52" t="s">
        <v>314</v>
      </c>
    </row>
    <row r="4" spans="1:2" ht="15.75">
      <c r="A4" s="54">
        <v>3</v>
      </c>
      <c r="B4" s="52" t="s">
        <v>54</v>
      </c>
    </row>
    <row r="5" spans="1:2" ht="31.5">
      <c r="A5" s="54" t="s">
        <v>1</v>
      </c>
      <c r="B5" s="53" t="s">
        <v>55</v>
      </c>
    </row>
    <row r="6" spans="1:2" ht="15.75">
      <c r="A6" s="54" t="s">
        <v>2</v>
      </c>
      <c r="B6" s="53" t="s">
        <v>312</v>
      </c>
    </row>
    <row r="7" spans="1:2" ht="15.75">
      <c r="A7" s="54" t="s">
        <v>3</v>
      </c>
      <c r="B7" s="53" t="s">
        <v>313</v>
      </c>
    </row>
    <row r="8" spans="1:2" ht="15.75">
      <c r="A8" s="54">
        <v>4</v>
      </c>
      <c r="B8" s="52" t="s">
        <v>51</v>
      </c>
    </row>
    <row r="9" spans="1:2" ht="15.75">
      <c r="A9" s="54" t="s">
        <v>31</v>
      </c>
      <c r="B9" s="53" t="s">
        <v>56</v>
      </c>
    </row>
    <row r="10" spans="1:2" ht="31.5">
      <c r="A10" s="54" t="s">
        <v>52</v>
      </c>
      <c r="B10" s="53" t="s">
        <v>57</v>
      </c>
    </row>
    <row r="11" spans="1:2" ht="47.25">
      <c r="A11" s="54">
        <v>5</v>
      </c>
      <c r="B11" s="52" t="s">
        <v>315</v>
      </c>
    </row>
  </sheetData>
  <mergeCells count="1">
    <mergeCell ref="A1:B1"/>
  </mergeCells>
  <pageMargins left="0.7" right="0.7" top="0.75" bottom="0.75" header="0.3" footer="0.3"/>
  <pageSetup paperSize="9" scale="8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4692C4A200411144856277260BA644C6" ma:contentTypeVersion="0" ma:contentTypeDescription="Izveidot jaunu dokumentu." ma:contentTypeScope="" ma:versionID="3dde14892d7ebf02d76aecd4de353120">
  <xsd:schema xmlns:xsd="http://www.w3.org/2001/XMLSchema" xmlns:xs="http://www.w3.org/2001/XMLSchema" xmlns:p="http://schemas.microsoft.com/office/2006/metadata/properties" targetNamespace="http://schemas.microsoft.com/office/2006/metadata/properties" ma:root="true" ma:fieldsID="e4db33db44e48f8f107466a912c3a54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995CFB-1C05-4A18-932E-88F513C69E1D}">
  <ds:schemaRefs>
    <ds:schemaRef ds:uri="http://purl.org/dc/dcmitype/"/>
    <ds:schemaRef ds:uri="http://schemas.microsoft.com/office/2006/documentManagement/types"/>
    <ds:schemaRef ds:uri="http://schemas.microsoft.com/office/infopath/2007/PartnerControls"/>
    <ds:schemaRef ds:uri="http://schemas.microsoft.com/office/2006/metadata/properties"/>
    <ds:schemaRef ds:uri="http://purl.org/dc/elements/1.1/"/>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275C37A0-2AA9-4850-AE0C-B7D04CFDDA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5BAA276F-5E61-4778-A049-E43D62239C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Fin.progress 2007-2013</vt:lpstr>
      <vt:lpstr>Sheet1</vt:lpstr>
      <vt:lpstr>BJS virzieni</vt:lpstr>
      <vt:lpstr>ES 2020 mērķi</vt:lpstr>
      <vt:lpstr>'Fin.progress 2007-2013'!Print_Area</vt:lpstr>
      <vt:lpstr>'Fin.progress 2007-2013'!Print_Titles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Uldis Šalajevs</dc:creator>
  <cp:lastModifiedBy>Arta Ločmele</cp:lastModifiedBy>
  <cp:lastPrinted>2016-08-15T08:29:56Z</cp:lastPrinted>
  <dcterms:created xsi:type="dcterms:W3CDTF">2009-08-06T12:09:10Z</dcterms:created>
  <dcterms:modified xsi:type="dcterms:W3CDTF">2017-03-29T11:37:41Z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0x0101004692C4A200411144856277260BA644C6</vt:lpwstr>
  </property>
</Properties>
</file>