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k\esfd\IEVIEŠANAS UZRAUDZĪBA\UK_AK_TIKSANAS_AR_EK_ANM\6 - AK un UK 14-20\2_UZRAUDZĪBAS KOMITEJA\03_Informativie_materiali\2024.02.05_(LM-JNI_ALTUM-izmaksas)\ALTUM_izmaksas\"/>
    </mc:Choice>
  </mc:AlternateContent>
  <xr:revisionPtr revIDLastSave="0" documentId="8_{0F30C4A1-117B-48A0-8624-DC25BF7433CE}" xr6:coauthVersionLast="47" xr6:coauthVersionMax="47" xr10:uidLastSave="{00000000-0000-0000-0000-000000000000}"/>
  <bookViews>
    <workbookView xWindow="-110" yWindow="-110" windowWidth="19420" windowHeight="10300" firstSheet="2" activeTab="2" xr2:uid="{00000000-000D-0000-FFFF-FFFF00000000}"/>
  </bookViews>
  <sheets>
    <sheet name="FOF" sheetId="1" state="hidden" r:id="rId1"/>
    <sheet name="DME" sheetId="2" state="hidden" r:id="rId2"/>
    <sheet name="FOF 2022" sheetId="11" r:id="rId3"/>
    <sheet name="DME 2022" sheetId="12" r:id="rId4"/>
  </sheets>
  <definedNames>
    <definedName name="_xlnm.Print_Area" localSheetId="1">DME!$A$1:$T$20</definedName>
    <definedName name="_xlnm.Print_Area" localSheetId="3">'DME 2022'!$A$1:$T$20</definedName>
    <definedName name="_xlnm.Print_Area" localSheetId="0">FOF!$A$1:$S$28</definedName>
    <definedName name="_xlnm.Print_Area" localSheetId="2">'FOF 2022'!$A$1:$S$29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2" i="11" l="1"/>
  <c r="R22" i="11"/>
  <c r="Q22" i="11"/>
  <c r="P22" i="11"/>
  <c r="O22" i="11"/>
  <c r="N22" i="11"/>
  <c r="M22" i="11"/>
  <c r="L22" i="11"/>
  <c r="F22" i="11" s="1"/>
  <c r="K22" i="11"/>
  <c r="J22" i="11"/>
  <c r="I22" i="11"/>
  <c r="H22" i="11"/>
  <c r="G22" i="11"/>
  <c r="E22" i="11"/>
  <c r="D22" i="11"/>
  <c r="C22" i="11"/>
  <c r="B22" i="11"/>
  <c r="N16" i="11"/>
  <c r="N15" i="11"/>
  <c r="M15" i="11"/>
  <c r="S20" i="11" l="1"/>
  <c r="R20" i="11"/>
  <c r="Q20" i="11"/>
  <c r="M20" i="11"/>
  <c r="N20" i="11"/>
  <c r="D14" i="11"/>
  <c r="D21" i="11"/>
  <c r="D20" i="11"/>
  <c r="F20" i="11"/>
  <c r="L15" i="11" l="1"/>
  <c r="Q16" i="11"/>
  <c r="E20" i="11" l="1"/>
  <c r="R12" i="12" l="1"/>
  <c r="L14" i="12"/>
  <c r="L13" i="12"/>
  <c r="P13" i="12"/>
  <c r="S13" i="12" s="1"/>
  <c r="O13" i="12"/>
  <c r="R13" i="12" s="1"/>
  <c r="C13" i="12"/>
  <c r="L19" i="11"/>
  <c r="L12" i="11"/>
  <c r="L12" i="12"/>
  <c r="P12" i="12"/>
  <c r="S12" i="12" s="1"/>
  <c r="O12" i="12"/>
  <c r="D12" i="12"/>
  <c r="C12" i="12"/>
  <c r="R13" i="11"/>
  <c r="S13" i="11"/>
  <c r="R14" i="11"/>
  <c r="S14" i="11"/>
  <c r="R15" i="11"/>
  <c r="S15" i="11"/>
  <c r="R17" i="11"/>
  <c r="S17" i="11"/>
  <c r="R18" i="11"/>
  <c r="S18" i="11"/>
  <c r="R19" i="11"/>
  <c r="S19" i="11"/>
  <c r="R21" i="11"/>
  <c r="S21" i="11"/>
  <c r="S12" i="11"/>
  <c r="Q12" i="11" s="1"/>
  <c r="R12" i="11"/>
  <c r="D19" i="11" l="1"/>
  <c r="D18" i="11"/>
  <c r="D13" i="11"/>
  <c r="D17" i="11"/>
  <c r="L17" i="11"/>
  <c r="F17" i="11" s="1"/>
  <c r="L18" i="11"/>
  <c r="N18" i="11" s="1"/>
  <c r="F19" i="11"/>
  <c r="L16" i="11"/>
  <c r="F16" i="11" s="1"/>
  <c r="L21" i="11"/>
  <c r="M21" i="11" s="1"/>
  <c r="N12" i="11"/>
  <c r="L13" i="11"/>
  <c r="L14" i="11"/>
  <c r="F14" i="11" s="1"/>
  <c r="H15" i="11"/>
  <c r="G15" i="11" s="1"/>
  <c r="S14" i="12"/>
  <c r="R14" i="12"/>
  <c r="K14" i="12"/>
  <c r="J14" i="12"/>
  <c r="I14" i="12"/>
  <c r="D14" i="12"/>
  <c r="B14" i="12"/>
  <c r="Q13" i="12"/>
  <c r="F13" i="12"/>
  <c r="H13" i="12"/>
  <c r="G13" i="12" s="1"/>
  <c r="E13" i="12"/>
  <c r="Q12" i="12"/>
  <c r="P14" i="12"/>
  <c r="O14" i="12"/>
  <c r="F12" i="12"/>
  <c r="H12" i="12"/>
  <c r="G12" i="12" s="1"/>
  <c r="C14" i="12"/>
  <c r="E14" i="12" s="1"/>
  <c r="F21" i="11"/>
  <c r="Q19" i="11"/>
  <c r="E19" i="11"/>
  <c r="Q18" i="11"/>
  <c r="E18" i="11"/>
  <c r="Q17" i="11"/>
  <c r="H17" i="11"/>
  <c r="G17" i="11" s="1"/>
  <c r="E17" i="11"/>
  <c r="Q15" i="11"/>
  <c r="E15" i="11"/>
  <c r="Q14" i="11"/>
  <c r="H14" i="11"/>
  <c r="G14" i="11" s="1"/>
  <c r="Q13" i="11"/>
  <c r="H13" i="11"/>
  <c r="G13" i="11" s="1"/>
  <c r="E13" i="11"/>
  <c r="H12" i="11"/>
  <c r="G12" i="11" l="1"/>
  <c r="M12" i="11" s="1"/>
  <c r="Q14" i="12"/>
  <c r="M13" i="11"/>
  <c r="F18" i="11"/>
  <c r="G19" i="11"/>
  <c r="M19" i="11" s="1"/>
  <c r="N19" i="11"/>
  <c r="N13" i="11"/>
  <c r="M14" i="11"/>
  <c r="N17" i="11"/>
  <c r="M17" i="11"/>
  <c r="G18" i="11"/>
  <c r="M18" i="11" s="1"/>
  <c r="N21" i="11"/>
  <c r="F13" i="11"/>
  <c r="F15" i="11"/>
  <c r="M12" i="12"/>
  <c r="G14" i="12"/>
  <c r="N12" i="12"/>
  <c r="E12" i="12"/>
  <c r="M13" i="12"/>
  <c r="N13" i="12"/>
  <c r="H14" i="12"/>
  <c r="E21" i="11"/>
  <c r="E16" i="11"/>
  <c r="F14" i="12" l="1"/>
  <c r="N14" i="12"/>
  <c r="M14" i="12"/>
</calcChain>
</file>

<file path=xl/sharedStrings.xml><?xml version="1.0" encoding="utf-8"?>
<sst xmlns="http://schemas.openxmlformats.org/spreadsheetml/2006/main" count="259" uniqueCount="93">
  <si>
    <t>Fondu fonds/ Finanšu instruments</t>
  </si>
  <si>
    <t>Kopā</t>
  </si>
  <si>
    <t>No tām faktiski veikto vadības izmaksu no pamata atlīdzības kopsumma</t>
  </si>
  <si>
    <t>No tām uz rezultātiem balstīto faktisko vadības izmaksu kopsumma</t>
  </si>
  <si>
    <t xml:space="preserve">FOF </t>
  </si>
  <si>
    <t>Starta aizdevumi</t>
  </si>
  <si>
    <t>Mikro aizdevumi</t>
  </si>
  <si>
    <t>Aizdevumu garantijas</t>
  </si>
  <si>
    <t>Paralēlie aizdevumi</t>
  </si>
  <si>
    <t>Tehnoloģiju akselerators</t>
  </si>
  <si>
    <t>Riska kapitāls</t>
  </si>
  <si>
    <t>% no instrumentam/fondam pieejamā finansējuma</t>
  </si>
  <si>
    <t>Vadības izmaksu pamatatlīdzības robežvērtība1 (EUR)</t>
  </si>
  <si>
    <t>Kopā (EUR)</t>
  </si>
  <si>
    <t>Vadības izmaksu uz rezultātiem balstītās atlīdzības robežvērtība (EUR)</t>
  </si>
  <si>
    <t>Vadības izmaksu un maksu kopējā robežvērtība 
(Regulas Nr.480/2014 13.(3) pants)
(EUR)</t>
  </si>
  <si>
    <t>Vadības izmaksu un maksu robežvērtība 
(Regulas Nr.480/2014 13.(1) un 13.(2) pants)</t>
  </si>
  <si>
    <t>Kopējais finansējums</t>
  </si>
  <si>
    <t>-</t>
  </si>
  <si>
    <r>
      <t>Instrumentam/fondam pieejamais publiskais finansējums atbilstoši Ministru kabineta noteikumiem (EUR)</t>
    </r>
    <r>
      <rPr>
        <vertAlign val="superscript"/>
        <sz val="12"/>
        <color theme="1"/>
        <rFont val="Times New Roman"/>
        <family val="1"/>
        <charset val="186"/>
      </rPr>
      <t>1</t>
    </r>
  </si>
  <si>
    <t>Publiskais finansējums</t>
  </si>
  <si>
    <r>
      <rPr>
        <b/>
        <sz val="12"/>
        <color rgb="FF000000"/>
        <rFont val="Times New Roman"/>
        <family val="1"/>
        <charset val="186"/>
      </rPr>
      <t xml:space="preserve">% no maksimāli pieļaujamā </t>
    </r>
    <r>
      <rPr>
        <sz val="12"/>
        <color rgb="FF000000"/>
        <rFont val="Times New Roman"/>
        <family val="1"/>
        <charset val="186"/>
      </rPr>
      <t xml:space="preserve"> periodā (no kontrolskaitļa)</t>
    </r>
  </si>
  <si>
    <r>
      <t>No kopējām vadības izmaksām (8 kolona) pamata atlīdzības/</t>
    </r>
    <r>
      <rPr>
        <b/>
        <sz val="12"/>
        <color theme="1"/>
        <rFont val="Times New Roman"/>
        <family val="1"/>
        <charset val="186"/>
      </rPr>
      <t>vispārējo administratīvo</t>
    </r>
    <r>
      <rPr>
        <sz val="12"/>
        <color theme="1"/>
        <rFont val="Times New Roman"/>
        <family val="1"/>
        <charset val="186"/>
      </rPr>
      <t xml:space="preserve"> izmaksu daļa</t>
    </r>
  </si>
  <si>
    <r>
      <t xml:space="preserve">No kopējām vadības izmaksām (8 kolona) </t>
    </r>
    <r>
      <rPr>
        <b/>
        <sz val="12"/>
        <color theme="1"/>
        <rFont val="Times New Roman"/>
        <family val="1"/>
        <charset val="186"/>
      </rPr>
      <t>uz rezultātiem balstīto</t>
    </r>
    <r>
      <rPr>
        <sz val="12"/>
        <color theme="1"/>
        <rFont val="Times New Roman"/>
        <family val="1"/>
        <charset val="186"/>
      </rPr>
      <t xml:space="preserve">  izmaksu daļa</t>
    </r>
  </si>
  <si>
    <t>5 = 3/2 (%)</t>
  </si>
  <si>
    <t>% vadības izmaksas pret investīcijām gala saņēmējos</t>
  </si>
  <si>
    <t>7(mazākais no kolonas 8 vai 11)</t>
  </si>
  <si>
    <t>12 = 15 + 16</t>
  </si>
  <si>
    <t>14 = 12/2 (%)</t>
  </si>
  <si>
    <t>13 = 12/7 (%)</t>
  </si>
  <si>
    <t>6 = 12/3 (%)</t>
  </si>
  <si>
    <t>MP C.7.2. 4.kolonna</t>
  </si>
  <si>
    <t>9+10 kolonna</t>
  </si>
  <si>
    <t>MP C.9 sadaļas 8.kolonna</t>
  </si>
  <si>
    <t>MP C.7.2. 3.kolonna</t>
  </si>
  <si>
    <t>8 = 9 + 10</t>
  </si>
  <si>
    <t>MP C.7.2. 6.kolonna</t>
  </si>
  <si>
    <t>MP C.9 sadaļas 8.kolonna kopā ar piesasitīto privāto finansējumu (garantijām MP C.8.3.sadaļa 21.kolonna)</t>
  </si>
  <si>
    <t>Aizdevumi</t>
  </si>
  <si>
    <t>Garantijas</t>
  </si>
  <si>
    <r>
      <rPr>
        <vertAlign val="superscript"/>
        <sz val="12"/>
        <color theme="1"/>
        <rFont val="Times New Roman"/>
        <family val="1"/>
        <charset val="186"/>
      </rPr>
      <t>2</t>
    </r>
    <r>
      <rPr>
        <sz val="12"/>
        <color theme="1"/>
        <rFont val="Times New Roman"/>
        <family val="2"/>
        <charset val="186"/>
      </rPr>
      <t>Vadības izmaksu un maksu  robežvērtība (mazākā no regulas Nr.480/2014 13.(1) un 13.(2) vai 13.(3) pantā minētajām vērtībām) (EUR)</t>
    </r>
  </si>
  <si>
    <r>
      <rPr>
        <vertAlign val="superscript"/>
        <sz val="12"/>
        <color theme="1"/>
        <rFont val="Times New Roman"/>
        <family val="1"/>
        <charset val="186"/>
      </rPr>
      <t>3</t>
    </r>
    <r>
      <rPr>
        <sz val="12"/>
        <color theme="1"/>
        <rFont val="Times New Roman"/>
        <family val="2"/>
        <charset val="186"/>
      </rPr>
      <t xml:space="preserve">Vispārējās atlīdzības daļas tiek aprēķinātas no kopējām vadības izmaksām proporcionāli vadības izmaksu un maksu ikgadējajām robežvērtībām (standarta likme no programmas ieguldījumiem, kas samaksāta fondu fondam/instrumentam, atbilstoši regulas Nr.480/2014 13.pantam).
Uz rezultātiem balstītā atlīdzības daļa tiek aprēķināta no kopējām vadības izmaksām proporcionāli ikgadējāi robežvērtībai (standarta likme no ieguldījumiem, kas samaksāti gala saņēmējiem, atbilstoši regulas Nr.480/2014 13.pantam).
15.03.2016. MK noteikumu Nr.160 29.punkts un starp Altum un CFLA noslēgtā nolīguma 5.3.punkts paredz, ka uz rezultātie balstītās vadības izmaksas tiks pārvērtētas atbilstoši sasniegtajiem rezultātiem iesniedzot noslēguma maksājumu. 
Altum instrukcijas un detalizētāka informācija pieejama UK e-portfelī pie 06.07.2016. UK materiāliem. </t>
    </r>
  </si>
  <si>
    <t>MP C.6.2. 3.kolonna</t>
  </si>
  <si>
    <t>MP C.6.2. 4.kolonna</t>
  </si>
  <si>
    <r>
      <rPr>
        <i/>
        <sz val="12"/>
        <color theme="1"/>
        <rFont val="Times New Roman"/>
        <family val="1"/>
        <charset val="186"/>
      </rPr>
      <t xml:space="preserve"> Sagatavoja: </t>
    </r>
    <r>
      <rPr>
        <sz val="12"/>
        <color theme="1"/>
        <rFont val="Times New Roman"/>
        <family val="2"/>
        <charset val="186"/>
      </rPr>
      <t>Aigars Davidovičs, 67083964, aigars.davidovics@fm.gov.lv</t>
    </r>
  </si>
  <si>
    <t>MP C.9 sadaļa 8.kolonna</t>
  </si>
  <si>
    <t>MP C.9 sadaļas 10.kolonna</t>
  </si>
  <si>
    <t>MP C.9 sadaļas 10.kolonna kopā ar piesasitīto privāto finansējumu (garantijām MP C.7.2.sadaļa 15.kolonna)</t>
  </si>
  <si>
    <t>MP C.9 sadaļa 10.kolonna</t>
  </si>
  <si>
    <t>Kopējais finansējums (ieskaitot privāto finansējumu)</t>
  </si>
  <si>
    <t>Datu avots:</t>
  </si>
  <si>
    <t>Ddatu avots:</t>
  </si>
  <si>
    <r>
      <rPr>
        <b/>
        <sz val="12"/>
        <color rgb="FF000000"/>
        <rFont val="Times New Roman"/>
        <family val="1"/>
        <charset val="186"/>
      </rPr>
      <t>Kontrolskaitlis -</t>
    </r>
    <r>
      <rPr>
        <sz val="12"/>
        <color rgb="FF000000"/>
        <rFont val="Times New Roman"/>
        <family val="1"/>
        <charset val="186"/>
      </rPr>
      <t xml:space="preserve"> maksimālais vadības izmaksu apjoms, ko iespējams attiecināt periodā līdz 2020.gada 31.decembrim (EUR)</t>
    </r>
    <r>
      <rPr>
        <vertAlign val="superscript"/>
        <sz val="12"/>
        <color rgb="FF000000"/>
        <rFont val="Times New Roman"/>
        <family val="1"/>
        <charset val="186"/>
      </rPr>
      <t>2</t>
    </r>
  </si>
  <si>
    <r>
      <rPr>
        <vertAlign val="superscript"/>
        <sz val="12"/>
        <color theme="1"/>
        <rFont val="Times New Roman"/>
        <family val="1"/>
        <charset val="186"/>
      </rPr>
      <t>3</t>
    </r>
    <r>
      <rPr>
        <sz val="12"/>
        <color theme="1"/>
        <rFont val="Times New Roman"/>
        <family val="2"/>
        <charset val="186"/>
      </rPr>
      <t xml:space="preserve">Vadības izmaksu un maksu  robežvērtība (mazākā no regulas Nr.480/2014 13.(1) un 13.(2) vai 13.(3) pantā minētajām vērtībām) (EUR). </t>
    </r>
    <r>
      <rPr>
        <sz val="12"/>
        <rFont val="Times New Roman"/>
        <family val="1"/>
        <charset val="186"/>
      </rPr>
      <t>Neattiecas uz instrumentiem, kuru ieviesēji izvēlēti publiskā iepirkumā, tādēļ šiem instrumentiem tabulā norādītas faktiskās vadības izmaksas.</t>
    </r>
    <r>
      <rPr>
        <sz val="12"/>
        <color rgb="FFFF0000"/>
        <rFont val="Times New Roman"/>
        <family val="1"/>
        <charset val="186"/>
      </rPr>
      <t xml:space="preserve">
</t>
    </r>
  </si>
  <si>
    <r>
      <rPr>
        <vertAlign val="superscript"/>
        <sz val="12"/>
        <color theme="1"/>
        <rFont val="Times New Roman"/>
        <family val="1"/>
        <charset val="186"/>
      </rPr>
      <t>4</t>
    </r>
    <r>
      <rPr>
        <sz val="12"/>
        <color theme="1"/>
        <rFont val="Times New Roman"/>
        <family val="2"/>
        <charset val="186"/>
      </rPr>
      <t xml:space="preserve">Vispārējās atlīdzības daļas tiek aprēķinātas no kopējām vadības izmaksām proporcionāli vadības izmaksu un maksu ikgadējajām robežvērtībām (standarta likme no programmas ieguldījumiem, kas samaksāta fondu fondam/instrumentam, atbilstoši regulas Nr.480/2014 13.pantam).
Uz rezultātiem balstītā atlīdzības daļa tiek aprēķināta no kopējām vadības izmaksām proporcionāli ikgadējāi robežvērtībai (standarta likme no ieguldījumiem, kas samaksāti gala saņēmējiem, atbilstoši regulas Nr.480/2014 13.pantam).
01.03.2016. MK noteikumu Nr.118 18.punkts un starp Altum un CFLA noslēgtā nolīguma 6.4.punkts paredz, ka uz rezultātie balstītās vadības izmaksas tiks pārvērtētas atbilstoši sasniegtajiem rezultātiem iesniedzot noslēguma maksājumu. 
Altum instrukcijas un detalizētāka informācija pieejama UK e-portfelī pie 06.07.2016. UK materiāliem. </t>
    </r>
  </si>
  <si>
    <r>
      <t>161 000 000</t>
    </r>
    <r>
      <rPr>
        <vertAlign val="superscript"/>
        <sz val="12"/>
        <color rgb="FF000000"/>
        <rFont val="Times New Roman"/>
        <family val="1"/>
        <charset val="186"/>
      </rPr>
      <t>2</t>
    </r>
  </si>
  <si>
    <t>Sagatavots 28.09.2022.</t>
  </si>
  <si>
    <r>
      <t>AS “Attīstības finanšu institūcijas Altum”</t>
    </r>
    <r>
      <rPr>
        <b/>
        <u/>
        <sz val="12"/>
        <color theme="1"/>
        <rFont val="Times New Roman"/>
        <family val="1"/>
        <charset val="186"/>
      </rPr>
      <t xml:space="preserve"> vadības izmaksas</t>
    </r>
    <r>
      <rPr>
        <b/>
        <sz val="12"/>
        <color theme="1"/>
        <rFont val="Times New Roman"/>
        <family val="1"/>
        <charset val="186"/>
      </rPr>
      <t xml:space="preserve"> projektā Nr. 3.0.0.0/16/FI/001 “Finansēšanas nolīgums par Fondu fonda un Finanšu instrumentu īstenošanu” par laika periodu līdz 2021.gada 31.decembrim.</t>
    </r>
  </si>
  <si>
    <r>
      <rPr>
        <b/>
        <sz val="12"/>
        <color rgb="FF000000"/>
        <rFont val="Times New Roman"/>
        <family val="1"/>
        <charset val="186"/>
      </rPr>
      <t xml:space="preserve">Galasaņēmējos </t>
    </r>
    <r>
      <rPr>
        <sz val="12"/>
        <color rgb="FF000000"/>
        <rFont val="Times New Roman"/>
        <family val="1"/>
        <charset val="186"/>
      </rPr>
      <t xml:space="preserve">veiktās attiecināmās </t>
    </r>
    <r>
      <rPr>
        <b/>
        <sz val="12"/>
        <color rgb="FF000000"/>
        <rFont val="Times New Roman"/>
        <family val="1"/>
        <charset val="186"/>
      </rPr>
      <t>investīcijas</t>
    </r>
    <r>
      <rPr>
        <sz val="12"/>
        <color rgb="FF000000"/>
        <rFont val="Times New Roman"/>
        <family val="1"/>
        <charset val="186"/>
      </rPr>
      <t xml:space="preserve"> kumulatīvi līdz 2021.gada 31.decembrim (EUR)</t>
    </r>
  </si>
  <si>
    <r>
      <rPr>
        <b/>
        <sz val="12"/>
        <color rgb="FF000000"/>
        <rFont val="Times New Roman"/>
        <family val="1"/>
        <charset val="186"/>
      </rPr>
      <t>Kontrolskaitlis -</t>
    </r>
    <r>
      <rPr>
        <sz val="12"/>
        <color rgb="FF000000"/>
        <rFont val="Times New Roman"/>
        <family val="1"/>
        <charset val="186"/>
      </rPr>
      <t xml:space="preserve"> maksimālais vadības izmaksu apjoms, ko iespējams attiecināt periodā līdz 2021.gada 31.decembrim (EUR)3</t>
    </r>
  </si>
  <si>
    <r>
      <t xml:space="preserve">Kopējās attiecināmās Altum (Tehnoloģiju akseleratoriem un Riska kapitālam finanšu starpnieku) </t>
    </r>
    <r>
      <rPr>
        <b/>
        <sz val="12"/>
        <color rgb="FF000000"/>
        <rFont val="Times New Roman"/>
        <family val="1"/>
        <charset val="186"/>
      </rPr>
      <t>vadības izmaksas</t>
    </r>
    <r>
      <rPr>
        <sz val="12"/>
        <color rgb="FF000000"/>
        <rFont val="Times New Roman"/>
        <family val="1"/>
        <charset val="186"/>
      </rPr>
      <t xml:space="preserve"> kumulatīvi</t>
    </r>
    <r>
      <rPr>
        <b/>
        <sz val="12"/>
        <color rgb="FF000000"/>
        <rFont val="Times New Roman"/>
        <family val="1"/>
        <charset val="186"/>
      </rPr>
      <t xml:space="preserve"> līdz 2021.gada 31.decembrim (EUR)</t>
    </r>
    <r>
      <rPr>
        <sz val="12"/>
        <color rgb="FF000000"/>
        <rFont val="Times New Roman"/>
        <family val="1"/>
        <charset val="186"/>
      </rPr>
      <t>4</t>
    </r>
  </si>
  <si>
    <r>
      <t xml:space="preserve">Attiecināmās Altum  (Tehnoloģiju akseleratoriem un Riska kapitālam finanšu starpnieku) </t>
    </r>
    <r>
      <rPr>
        <b/>
        <sz val="12"/>
        <color rgb="FF000000"/>
        <rFont val="Times New Roman"/>
        <family val="1"/>
        <charset val="186"/>
      </rPr>
      <t>vadības izmaksas</t>
    </r>
    <r>
      <rPr>
        <sz val="12"/>
        <color rgb="FF000000"/>
        <rFont val="Times New Roman"/>
        <family val="1"/>
        <charset val="186"/>
      </rPr>
      <t xml:space="preserve">, kas radušās </t>
    </r>
    <r>
      <rPr>
        <b/>
        <sz val="12"/>
        <color rgb="FF000000"/>
        <rFont val="Times New Roman"/>
        <family val="1"/>
        <charset val="186"/>
      </rPr>
      <t>2021.gadā (EUR)</t>
    </r>
  </si>
  <si>
    <r>
      <rPr>
        <vertAlign val="superscript"/>
        <sz val="12"/>
        <color theme="1"/>
        <rFont val="Times New Roman"/>
        <family val="1"/>
        <charset val="186"/>
      </rPr>
      <t>1</t>
    </r>
    <r>
      <rPr>
        <sz val="12"/>
        <color theme="1"/>
        <rFont val="Times New Roman"/>
        <family val="2"/>
        <charset val="186"/>
      </rPr>
      <t>Pieejamā finansējuma summas norādītas atbilstoši 01.03.2016. Ministru kabineta noteikumu Nr.118 "Noteikumi par finanšu instrumentu un fondu fonda īstenošanas kārtību darbības programmas "Izaugsme un nodarbinātība" 3.1.1. specifiskā atbalsta mērķa "Sekmēt mazo un vidējo komersantu izveidi un attīstību, īpaši apstrādes rūpniecībā un RIS3 prioritārajās nozarēs" un 3.1.2. specifiskā atbalsta mērķa "Palielināt straujas izaugsmes komersantu skaitu" pasākumu ieviešanai" 16.11.2021. grozījumiem;
16.06.2020. Ministru kabineta noteikumi Nr.383 "Noteikumi par garantijām saimnieciskās darbības veicējiem konkurētspējas uzlabošanai";
15.07.2016. Ministru kabineta noteikumi Nr.469 "Noteikumi par paralēlajiem aizdevumiem saimnieciskās darbības veicējiem konkurētspējas uzlabošanai";
31.05.2016. Ministru kabineta noteikumi Nr.328 "Noteikumi par mikroaizdevumiem un starta aizdevumiem";
02.08.2016. Ministru kabineta noteikumi Nr.518 "Noteikumi par sēklas kapitāla, sākuma kapitāla un izaugsmes kapitāla fondiem saimnieciskās darbības veicēju izveides, attīstības un konkurētspējas veicināšanai";
12.04.2016. Ministru kabineta noteikumi Nr.226 "Noteikumi par akcelerācijas fondiem saimnieciskās darbības veicēju izveides, attīstības un konkurētspējas veicināšanai";
16.11.2021. Ministru kabineta noteikumi Nr.1065 "Noteikumi par aizdevumiem sīko (mikro), mazo un vidējo saimnieciskās darbības veicēju un lauksaimniecības un mežsaimniecības pakalpojumu kooperatīvo sabiedrību attīstības veicināšanai".</t>
    </r>
  </si>
  <si>
    <r>
      <rPr>
        <vertAlign val="superscript"/>
        <sz val="12"/>
        <color theme="1"/>
        <rFont val="Times New Roman"/>
        <family val="1"/>
        <charset val="186"/>
      </rPr>
      <t>2</t>
    </r>
    <r>
      <rPr>
        <sz val="12"/>
        <color theme="1"/>
        <rFont val="Times New Roman"/>
        <family val="2"/>
        <charset val="186"/>
      </rPr>
      <t xml:space="preserve">Uz 2021.gada beigām atbilstoši 01.03.2016. Ministru kabineta noteikumiem Nr.118 kopā Fonda kopējais pieejamais publiskais fiansējums bija 161 miljoni euro. </t>
    </r>
    <r>
      <rPr>
        <sz val="12"/>
        <color rgb="FFFF0000"/>
        <rFont val="Times New Roman"/>
        <family val="1"/>
        <charset val="186"/>
      </rPr>
      <t xml:space="preserve">
</t>
    </r>
  </si>
  <si>
    <r>
      <rPr>
        <i/>
        <sz val="12"/>
        <color theme="1"/>
        <rFont val="Times New Roman"/>
        <family val="1"/>
        <charset val="186"/>
      </rPr>
      <t>Informācijas avots:</t>
    </r>
    <r>
      <rPr>
        <sz val="12"/>
        <color theme="1"/>
        <rFont val="Times New Roman"/>
        <family val="1"/>
        <charset val="186"/>
      </rPr>
      <t xml:space="preserve">  ES fondu vadības informācijas sistēmā  MP Nr. FI MP Nr.19</t>
    </r>
  </si>
  <si>
    <t>MP C.9 sadaļas 8.kolonna (starpība starp FI MP19 un FI MP16)</t>
  </si>
  <si>
    <r>
      <t>1) 2021.gadā Altum attiecinātās vadības izmaksas par kopā 3,2</t>
    </r>
    <r>
      <rPr>
        <sz val="12"/>
        <rFont val="Times New Roman"/>
        <family val="1"/>
        <charset val="186"/>
      </rPr>
      <t xml:space="preserve"> miljonu</t>
    </r>
    <r>
      <rPr>
        <sz val="12"/>
        <color rgb="FFFF0000"/>
        <rFont val="Times New Roman"/>
        <family val="1"/>
        <charset val="186"/>
      </rPr>
      <t xml:space="preserve"> </t>
    </r>
    <r>
      <rPr>
        <i/>
        <sz val="12"/>
        <color theme="1"/>
        <rFont val="Times New Roman"/>
        <family val="1"/>
        <charset val="186"/>
      </rPr>
      <t>euro</t>
    </r>
    <r>
      <rPr>
        <sz val="12"/>
        <color theme="1"/>
        <rFont val="Times New Roman"/>
        <family val="1"/>
        <charset val="186"/>
      </rPr>
      <t>. 
2) Kopējās Altum attiecinātās vadības izmaksas laika periodā līdz 2021.gada 31.decembrim ir 12,8</t>
    </r>
    <r>
      <rPr>
        <sz val="12"/>
        <color rgb="FFFF0000"/>
        <rFont val="Times New Roman"/>
        <family val="1"/>
        <charset val="186"/>
      </rPr>
      <t xml:space="preserve"> </t>
    </r>
    <r>
      <rPr>
        <sz val="12"/>
        <rFont val="Times New Roman"/>
        <family val="1"/>
        <charset val="186"/>
      </rPr>
      <t xml:space="preserve">miljoni </t>
    </r>
    <r>
      <rPr>
        <i/>
        <sz val="12"/>
        <rFont val="Times New Roman"/>
        <family val="1"/>
        <charset val="186"/>
      </rPr>
      <t>euro</t>
    </r>
    <r>
      <rPr>
        <sz val="12"/>
        <rFont val="Times New Roman"/>
        <family val="1"/>
        <charset val="186"/>
      </rPr>
      <t>, jeb 100%</t>
    </r>
    <r>
      <rPr>
        <sz val="12"/>
        <color theme="1"/>
        <rFont val="Times New Roman"/>
        <family val="1"/>
        <charset val="186"/>
      </rPr>
      <t xml:space="preserve"> no kopējās pieļaujamās robežvērtības atbilstoši Komisijas deleģētās regulas Nr.480/2014 13.pantam. </t>
    </r>
  </si>
  <si>
    <r>
      <t>AS “Attīstības finanšu institūcijas Altum”</t>
    </r>
    <r>
      <rPr>
        <b/>
        <u/>
        <sz val="12"/>
        <color theme="1"/>
        <rFont val="Times New Roman"/>
        <family val="1"/>
        <charset val="186"/>
      </rPr>
      <t xml:space="preserve"> vadības izmaksas</t>
    </r>
    <r>
      <rPr>
        <b/>
        <sz val="12"/>
        <color theme="1"/>
        <rFont val="Times New Roman"/>
        <family val="1"/>
        <charset val="186"/>
      </rPr>
      <t xml:space="preserve"> projektā Nr. 4.2.1.1/16/FI/001 “Finansēšanas nolīgums par Finanšu instrumenta īstenošanu” par laika periodu līdz 2021.gada 31.decembrim.</t>
    </r>
  </si>
  <si>
    <r>
      <rPr>
        <vertAlign val="superscript"/>
        <sz val="12"/>
        <color theme="1"/>
        <rFont val="Times New Roman"/>
        <family val="1"/>
        <charset val="186"/>
      </rPr>
      <t>1</t>
    </r>
    <r>
      <rPr>
        <sz val="12"/>
        <color theme="1"/>
        <rFont val="Times New Roman"/>
        <family val="2"/>
        <charset val="186"/>
      </rPr>
      <t xml:space="preserve">Pieejamā finansējuma summas norādītas atbilstoši 15.03.2016. Ministru kabineta noteikumu Nr.160 "Darbības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 02.11.2021. grozījumiem;
</t>
    </r>
  </si>
  <si>
    <t>MP C.9 sadaļas 8.kolonna (starpība starp FI MP17 un FI MP14)</t>
  </si>
  <si>
    <r>
      <rPr>
        <i/>
        <sz val="12"/>
        <color theme="1"/>
        <rFont val="Times New Roman"/>
        <family val="1"/>
        <charset val="186"/>
      </rPr>
      <t>Informācijas avots:</t>
    </r>
    <r>
      <rPr>
        <sz val="12"/>
        <color theme="1"/>
        <rFont val="Times New Roman"/>
        <family val="1"/>
        <charset val="186"/>
      </rPr>
      <t xml:space="preserve">  ES fondu vadības informācijas sistēmā  MP Nr. FI MP Nr.17</t>
    </r>
  </si>
  <si>
    <r>
      <t xml:space="preserve">Kopējās attiecināmās Altum </t>
    </r>
    <r>
      <rPr>
        <b/>
        <sz val="12"/>
        <color rgb="FF000000"/>
        <rFont val="Times New Roman"/>
        <family val="1"/>
        <charset val="186"/>
      </rPr>
      <t>vadības izmaksas</t>
    </r>
    <r>
      <rPr>
        <sz val="12"/>
        <color rgb="FF000000"/>
        <rFont val="Times New Roman"/>
        <family val="1"/>
        <charset val="186"/>
      </rPr>
      <t xml:space="preserve"> kumulatīvi</t>
    </r>
    <r>
      <rPr>
        <b/>
        <sz val="12"/>
        <color rgb="FF000000"/>
        <rFont val="Times New Roman"/>
        <family val="1"/>
        <charset val="186"/>
      </rPr>
      <t xml:space="preserve"> līdz 2021.gada 31.decembrim (EUR)</t>
    </r>
    <r>
      <rPr>
        <vertAlign val="superscript"/>
        <sz val="12"/>
        <color rgb="FF000000"/>
        <rFont val="Times New Roman"/>
        <family val="1"/>
        <charset val="186"/>
      </rPr>
      <t>3</t>
    </r>
  </si>
  <si>
    <r>
      <t xml:space="preserve">Attiecināmās Altum </t>
    </r>
    <r>
      <rPr>
        <b/>
        <sz val="12"/>
        <color rgb="FF000000"/>
        <rFont val="Times New Roman"/>
        <family val="1"/>
        <charset val="186"/>
      </rPr>
      <t>vadības izmaksas</t>
    </r>
    <r>
      <rPr>
        <sz val="12"/>
        <color rgb="FF000000"/>
        <rFont val="Times New Roman"/>
        <family val="1"/>
        <charset val="186"/>
      </rPr>
      <t xml:space="preserve">, kas radušās </t>
    </r>
    <r>
      <rPr>
        <b/>
        <sz val="12"/>
        <color rgb="FF000000"/>
        <rFont val="Times New Roman"/>
        <family val="1"/>
        <charset val="186"/>
      </rPr>
      <t>2021.gadā (EUR)</t>
    </r>
  </si>
  <si>
    <r>
      <t xml:space="preserve">1) 2020.gadā Altum attiecinātās vadības izmaksas par kopā </t>
    </r>
    <r>
      <rPr>
        <sz val="12"/>
        <rFont val="Times New Roman"/>
        <family val="1"/>
        <charset val="186"/>
      </rPr>
      <t>216 tūkstoši</t>
    </r>
    <r>
      <rPr>
        <sz val="12"/>
        <color rgb="FFFF0000"/>
        <rFont val="Times New Roman"/>
        <family val="1"/>
        <charset val="186"/>
      </rPr>
      <t xml:space="preserve"> </t>
    </r>
    <r>
      <rPr>
        <i/>
        <sz val="12"/>
        <color theme="1"/>
        <rFont val="Times New Roman"/>
        <family val="1"/>
        <charset val="186"/>
      </rPr>
      <t>euro</t>
    </r>
    <r>
      <rPr>
        <sz val="12"/>
        <color theme="1"/>
        <rFont val="Times New Roman"/>
        <family val="1"/>
        <charset val="186"/>
      </rPr>
      <t xml:space="preserve">. 
2) Kopējās Altum attiecinātās vadības  izmaksas laika periodā līdz 2021.gada 31.decembrim ir </t>
    </r>
    <r>
      <rPr>
        <sz val="12"/>
        <rFont val="Times New Roman"/>
        <family val="1"/>
        <charset val="186"/>
      </rPr>
      <t xml:space="preserve">622 tūkstotis </t>
    </r>
    <r>
      <rPr>
        <i/>
        <sz val="12"/>
        <rFont val="Times New Roman"/>
        <family val="1"/>
        <charset val="186"/>
      </rPr>
      <t>euro</t>
    </r>
    <r>
      <rPr>
        <sz val="12"/>
        <rFont val="Times New Roman"/>
        <family val="1"/>
        <charset val="186"/>
      </rPr>
      <t>, jeb 47,7%</t>
    </r>
    <r>
      <rPr>
        <sz val="12"/>
        <color theme="1"/>
        <rFont val="Times New Roman"/>
        <family val="1"/>
        <charset val="186"/>
      </rPr>
      <t xml:space="preserve"> no kopējās pieļaujamās robežvērtības atbilstoši Komisijas deleģētās regulas Nr.480/2014 13.pantam. </t>
    </r>
  </si>
  <si>
    <t>Aizdevumu garantijas REACT-EU</t>
  </si>
  <si>
    <t xml:space="preserve">MVU aizdevumi </t>
  </si>
  <si>
    <t>Sagatavots 13.11.2023.</t>
  </si>
  <si>
    <r>
      <t>AS “Attīstības finanšu institūcijas Altum”</t>
    </r>
    <r>
      <rPr>
        <b/>
        <u/>
        <sz val="12"/>
        <color theme="1"/>
        <rFont val="Times New Roman"/>
        <family val="1"/>
        <charset val="186"/>
      </rPr>
      <t xml:space="preserve"> vadības izmaksas</t>
    </r>
    <r>
      <rPr>
        <b/>
        <sz val="12"/>
        <color theme="1"/>
        <rFont val="Times New Roman"/>
        <family val="1"/>
        <charset val="186"/>
      </rPr>
      <t xml:space="preserve"> projektā Nr. 3.0.0.0/16/FI/001 “Finansēšanas nolīgums par Fondu fonda un Finanšu instrumentu īstenošanu” par laika periodu līdz 2022.gada 31.decembrim.</t>
    </r>
  </si>
  <si>
    <r>
      <t>157 059 282</t>
    </r>
    <r>
      <rPr>
        <vertAlign val="superscript"/>
        <sz val="12"/>
        <color rgb="FF000000"/>
        <rFont val="Times New Roman"/>
        <family val="1"/>
        <charset val="186"/>
      </rPr>
      <t>2</t>
    </r>
  </si>
  <si>
    <r>
      <rPr>
        <vertAlign val="superscript"/>
        <sz val="12"/>
        <color theme="1"/>
        <rFont val="Times New Roman"/>
        <family val="1"/>
        <charset val="186"/>
      </rPr>
      <t>2</t>
    </r>
    <r>
      <rPr>
        <sz val="12"/>
        <color theme="1"/>
        <rFont val="Times New Roman"/>
        <family val="2"/>
        <charset val="186"/>
      </rPr>
      <t xml:space="preserve">Uz 2022.gada beigām atbilstoši 01.03.2016. Ministru kabineta noteikumiem Nr.118 kopā Fonda kopējais pieejamais publiskais fiansējums bija 157 miljoni euro. </t>
    </r>
    <r>
      <rPr>
        <sz val="12"/>
        <color rgb="FFFF0000"/>
        <rFont val="Times New Roman"/>
        <family val="1"/>
        <charset val="186"/>
      </rPr>
      <t xml:space="preserve">
</t>
    </r>
  </si>
  <si>
    <r>
      <rPr>
        <b/>
        <sz val="12"/>
        <color rgb="FF000000"/>
        <rFont val="Times New Roman"/>
        <family val="1"/>
        <charset val="186"/>
      </rPr>
      <t>Kontrolskaitlis -</t>
    </r>
    <r>
      <rPr>
        <sz val="12"/>
        <color rgb="FF000000"/>
        <rFont val="Times New Roman"/>
        <family val="1"/>
        <charset val="186"/>
      </rPr>
      <t xml:space="preserve"> maksimālais vadības izmaksu apjoms, ko iespējams attiecināt periodā līdz 2022.gada 31.decembrim (EUR)3</t>
    </r>
  </si>
  <si>
    <r>
      <t xml:space="preserve">Attiecināmās Altum  (Tehnoloģiju akseleratoriem un Riska kapitālam finanšu starpnieku) </t>
    </r>
    <r>
      <rPr>
        <b/>
        <sz val="12"/>
        <color rgb="FF000000"/>
        <rFont val="Times New Roman"/>
        <family val="1"/>
        <charset val="186"/>
      </rPr>
      <t>vadības izmaksas</t>
    </r>
    <r>
      <rPr>
        <sz val="12"/>
        <color rgb="FF000000"/>
        <rFont val="Times New Roman"/>
        <family val="1"/>
        <charset val="186"/>
      </rPr>
      <t xml:space="preserve">, kas radušās </t>
    </r>
    <r>
      <rPr>
        <b/>
        <sz val="12"/>
        <color rgb="FF000000"/>
        <rFont val="Times New Roman"/>
        <family val="1"/>
        <charset val="186"/>
      </rPr>
      <t>2022.gadā (EUR)</t>
    </r>
  </si>
  <si>
    <r>
      <t>AS “Attīstības finanšu institūcijas Altum”</t>
    </r>
    <r>
      <rPr>
        <b/>
        <u/>
        <sz val="12"/>
        <color theme="1"/>
        <rFont val="Times New Roman"/>
        <family val="1"/>
        <charset val="186"/>
      </rPr>
      <t xml:space="preserve"> vadības izmaksas</t>
    </r>
    <r>
      <rPr>
        <b/>
        <sz val="12"/>
        <color theme="1"/>
        <rFont val="Times New Roman"/>
        <family val="1"/>
        <charset val="186"/>
      </rPr>
      <t xml:space="preserve"> projektā Nr. 4.2.1.1/16/FI/001 “Finansēšanas nolīgums par Finanšu instrumenta īstenošanu” par laika periodu līdz 2022.gada 31.decembrim.</t>
    </r>
  </si>
  <si>
    <r>
      <t xml:space="preserve">Kopējās attiecināmās Altum </t>
    </r>
    <r>
      <rPr>
        <b/>
        <sz val="12"/>
        <color rgb="FF000000"/>
        <rFont val="Times New Roman"/>
        <family val="1"/>
        <charset val="186"/>
      </rPr>
      <t>vadības izmaksas</t>
    </r>
    <r>
      <rPr>
        <sz val="12"/>
        <color rgb="FF000000"/>
        <rFont val="Times New Roman"/>
        <family val="1"/>
        <charset val="186"/>
      </rPr>
      <t xml:space="preserve"> kumulatīvi</t>
    </r>
    <r>
      <rPr>
        <b/>
        <sz val="12"/>
        <color rgb="FF000000"/>
        <rFont val="Times New Roman"/>
        <family val="1"/>
        <charset val="186"/>
      </rPr>
      <t xml:space="preserve"> līdz 2022.gada 31.decembrim (EUR)</t>
    </r>
    <r>
      <rPr>
        <vertAlign val="superscript"/>
        <sz val="12"/>
        <color rgb="FF000000"/>
        <rFont val="Times New Roman"/>
        <family val="1"/>
        <charset val="186"/>
      </rPr>
      <t>3</t>
    </r>
  </si>
  <si>
    <r>
      <t xml:space="preserve">Attiecināmās Altum </t>
    </r>
    <r>
      <rPr>
        <b/>
        <sz val="12"/>
        <color rgb="FF000000"/>
        <rFont val="Times New Roman"/>
        <family val="1"/>
        <charset val="186"/>
      </rPr>
      <t>vadības izmaksas</t>
    </r>
    <r>
      <rPr>
        <sz val="12"/>
        <color rgb="FF000000"/>
        <rFont val="Times New Roman"/>
        <family val="1"/>
        <charset val="186"/>
      </rPr>
      <t xml:space="preserve">, kas radušās </t>
    </r>
    <r>
      <rPr>
        <b/>
        <sz val="12"/>
        <color rgb="FF000000"/>
        <rFont val="Times New Roman"/>
        <family val="1"/>
        <charset val="186"/>
      </rPr>
      <t>2022.gadā (EUR)</t>
    </r>
  </si>
  <si>
    <r>
      <t xml:space="preserve">Kopējās attiecināmās Altum (Tehnoloģiju akseleratoriem un Riska kapitālam finanšu starpnieku) </t>
    </r>
    <r>
      <rPr>
        <b/>
        <sz val="12"/>
        <color rgb="FF000000"/>
        <rFont val="Times New Roman"/>
        <family val="1"/>
        <charset val="186"/>
      </rPr>
      <t>vadības izmaksas</t>
    </r>
    <r>
      <rPr>
        <sz val="12"/>
        <color rgb="FF000000"/>
        <rFont val="Times New Roman"/>
        <family val="1"/>
        <charset val="186"/>
      </rPr>
      <t xml:space="preserve"> kumulatīvi</t>
    </r>
    <r>
      <rPr>
        <b/>
        <sz val="12"/>
        <color rgb="FF000000"/>
        <rFont val="Times New Roman"/>
        <family val="1"/>
        <charset val="186"/>
      </rPr>
      <t xml:space="preserve"> līdz 2022.gada 31.decembrim (EUR)</t>
    </r>
    <r>
      <rPr>
        <sz val="12"/>
        <color rgb="FF000000"/>
        <rFont val="Times New Roman"/>
        <family val="1"/>
        <charset val="186"/>
      </rPr>
      <t>4</t>
    </r>
  </si>
  <si>
    <r>
      <rPr>
        <b/>
        <sz val="12"/>
        <color rgb="FF000000"/>
        <rFont val="Times New Roman"/>
        <family val="1"/>
        <charset val="186"/>
      </rPr>
      <t xml:space="preserve">Galasaņēmējos </t>
    </r>
    <r>
      <rPr>
        <sz val="12"/>
        <color rgb="FF000000"/>
        <rFont val="Times New Roman"/>
        <family val="1"/>
        <charset val="186"/>
      </rPr>
      <t xml:space="preserve">veiktās attiecināmās </t>
    </r>
    <r>
      <rPr>
        <b/>
        <sz val="12"/>
        <color rgb="FF000000"/>
        <rFont val="Times New Roman"/>
        <family val="1"/>
        <charset val="186"/>
      </rPr>
      <t>investīcijas</t>
    </r>
    <r>
      <rPr>
        <sz val="12"/>
        <color rgb="FF000000"/>
        <rFont val="Times New Roman"/>
        <family val="1"/>
        <charset val="186"/>
      </rPr>
      <t xml:space="preserve"> kumulatīvi līdz 2022.gada 31.decembrim (EUR)</t>
    </r>
  </si>
  <si>
    <r>
      <rPr>
        <vertAlign val="superscript"/>
        <sz val="12"/>
        <color theme="1"/>
        <rFont val="Times New Roman"/>
        <family val="1"/>
        <charset val="186"/>
      </rPr>
      <t>1</t>
    </r>
    <r>
      <rPr>
        <sz val="12"/>
        <color theme="1"/>
        <rFont val="Times New Roman"/>
        <family val="2"/>
        <charset val="186"/>
      </rPr>
      <t>Pieejamā finansējuma summas norādītas atbilstoši 01.03.2016. Ministru kabineta noteikumu Nr.118 "Noteikumi par finanšu instrumentu un fondu fonda īstenošanas kārtību darbības programmas "Izaugsme un nodarbinātība" 3.1.1. specifiskā atbalsta mērķa "Sekmēt mazo un vidējo komersantu izveidi un attīstību, īpaši apstrādes rūpniecībā un RIS3 prioritārajās nozarēs" pasākumu, 3.1.2. specifiskā atbalsta mērķa "Palielināt straujas izaugsmes komersantu skaitu" pasākumu un 13.1.1. specifiskā atbalsta mērķa "Atveseļošanas pasākumi ekonomikas nozarē" 13.1.1.1. pasākuma "MVU izveide un attīstība" ieviešanai";
16.06.2020. Ministru kabineta noteikumi Nr.383 "Noteikumi par garantijām saimnieciskās darbības veicējiem konkurētspējas uzlabošanai";
15.07.2016. Ministru kabineta noteikumi Nr.469 "Noteikumi par paralēlajiem aizdevumiem saimnieciskās darbības veicējiem konkurētspējas uzlabošanai";
31.05.2016. Ministru kabineta noteikumi Nr.328 "Noteikumi par mikroaizdevumiem un starta aizdevumiem";
02.08.2016. Ministru kabineta noteikumi Nr.518 "Noteikumi par sēklas kapitāla, sākuma kapitāla un izaugsmes kapitāla fondiem saimnieciskās darbības veicēju izveides, attīstības un konkurētspējas veicināšanai";
12.04.2016. Ministru kabineta noteikumi Nr.226 "Noteikumi par akcelerācijas fondiem saimnieciskās darbības veicēju izveides, attīstības un konkurētspējas veicināšanai";
16.11.2021. Ministru kabineta noteikumi Nr.1065 "Noteikumi par aizdevumiem sīko (mikro), mazo un vidējo saimnieciskās darbības veicēju un lauksaimniecības un mežsaimniecības pakalpojumu kooperatīvo sabiedrību attīstības veicināšanai".</t>
    </r>
  </si>
  <si>
    <r>
      <rPr>
        <i/>
        <sz val="12"/>
        <color theme="1"/>
        <rFont val="Times New Roman"/>
        <family val="1"/>
        <charset val="186"/>
      </rPr>
      <t>Informācijas avots:</t>
    </r>
    <r>
      <rPr>
        <sz val="12"/>
        <color theme="1"/>
        <rFont val="Times New Roman"/>
        <family val="1"/>
        <charset val="186"/>
      </rPr>
      <t xml:space="preserve">  ES fondu vadības informācijas sistēmā  MP Nr. FI MP Nr.22</t>
    </r>
  </si>
  <si>
    <r>
      <rPr>
        <i/>
        <sz val="12"/>
        <color theme="1"/>
        <rFont val="Times New Roman"/>
        <family val="1"/>
        <charset val="186"/>
      </rPr>
      <t>Informācijas avots:</t>
    </r>
    <r>
      <rPr>
        <sz val="12"/>
        <color theme="1"/>
        <rFont val="Times New Roman"/>
        <family val="1"/>
        <charset val="186"/>
      </rPr>
      <t xml:space="preserve">  ES fondu vadības informācijas sistēmā  MP Nr. FI MP Nr.20</t>
    </r>
  </si>
  <si>
    <r>
      <t xml:space="preserve">1) 2022.gadā Altum attiecinātās vadības izmaksas par kopā </t>
    </r>
    <r>
      <rPr>
        <sz val="12"/>
        <rFont val="Times New Roman"/>
        <family val="1"/>
        <charset val="186"/>
      </rPr>
      <t>386 tūkstoši</t>
    </r>
    <r>
      <rPr>
        <sz val="12"/>
        <color rgb="FFFF0000"/>
        <rFont val="Times New Roman"/>
        <family val="1"/>
        <charset val="186"/>
      </rPr>
      <t xml:space="preserve"> </t>
    </r>
    <r>
      <rPr>
        <i/>
        <sz val="12"/>
        <color theme="1"/>
        <rFont val="Times New Roman"/>
        <family val="1"/>
        <charset val="186"/>
      </rPr>
      <t>euro</t>
    </r>
    <r>
      <rPr>
        <sz val="12"/>
        <color theme="1"/>
        <rFont val="Times New Roman"/>
        <family val="1"/>
        <charset val="186"/>
      </rPr>
      <t xml:space="preserve">. 
2) Kopējās Altum attiecinātās vadības  izmaksas laika periodā līdz 2022.gada 31.decembrim ir </t>
    </r>
    <r>
      <rPr>
        <sz val="12"/>
        <rFont val="Times New Roman"/>
        <family val="1"/>
        <charset val="186"/>
      </rPr>
      <t xml:space="preserve">1,0 miljons </t>
    </r>
    <r>
      <rPr>
        <i/>
        <sz val="12"/>
        <rFont val="Times New Roman"/>
        <family val="1"/>
        <charset val="186"/>
      </rPr>
      <t>euro</t>
    </r>
    <r>
      <rPr>
        <sz val="12"/>
        <rFont val="Times New Roman"/>
        <family val="1"/>
        <charset val="186"/>
      </rPr>
      <t>, jeb 64,5%</t>
    </r>
    <r>
      <rPr>
        <sz val="12"/>
        <color theme="1"/>
        <rFont val="Times New Roman"/>
        <family val="1"/>
        <charset val="186"/>
      </rPr>
      <t xml:space="preserve"> no kopējās pieļaujamās robežvērtības atbilstoši Komisijas deleģētās regulas Nr.480/2014 13.pantam. </t>
    </r>
  </si>
  <si>
    <t>MVU REACT-EU</t>
  </si>
  <si>
    <r>
      <t>1) 2022.gadā Altum attiecinātās vadības izmaksas par kopā 2,3</t>
    </r>
    <r>
      <rPr>
        <sz val="12"/>
        <rFont val="Times New Roman"/>
        <family val="1"/>
        <charset val="186"/>
      </rPr>
      <t xml:space="preserve"> miljonu</t>
    </r>
    <r>
      <rPr>
        <sz val="12"/>
        <color rgb="FFFF0000"/>
        <rFont val="Times New Roman"/>
        <family val="1"/>
        <charset val="186"/>
      </rPr>
      <t xml:space="preserve"> </t>
    </r>
    <r>
      <rPr>
        <i/>
        <sz val="12"/>
        <color theme="1"/>
        <rFont val="Times New Roman"/>
        <family val="1"/>
        <charset val="186"/>
      </rPr>
      <t>euro</t>
    </r>
    <r>
      <rPr>
        <sz val="12"/>
        <color theme="1"/>
        <rFont val="Times New Roman"/>
        <family val="1"/>
        <charset val="186"/>
      </rPr>
      <t>. 
2) Kopējās Altum attiecinātās vadības izmaksas laika periodā līdz 2022.gada 31.decembrim ir 15,2</t>
    </r>
    <r>
      <rPr>
        <sz val="12"/>
        <color rgb="FFFF0000"/>
        <rFont val="Times New Roman"/>
        <family val="1"/>
        <charset val="186"/>
      </rPr>
      <t xml:space="preserve"> </t>
    </r>
    <r>
      <rPr>
        <sz val="12"/>
        <rFont val="Times New Roman"/>
        <family val="1"/>
        <charset val="186"/>
      </rPr>
      <t xml:space="preserve">miljoni </t>
    </r>
    <r>
      <rPr>
        <i/>
        <sz val="12"/>
        <rFont val="Times New Roman"/>
        <family val="1"/>
        <charset val="186"/>
      </rPr>
      <t>euro</t>
    </r>
    <r>
      <rPr>
        <sz val="12"/>
        <rFont val="Times New Roman"/>
        <family val="1"/>
        <charset val="186"/>
      </rPr>
      <t>, jeb 99,5%</t>
    </r>
    <r>
      <rPr>
        <sz val="12"/>
        <color theme="1"/>
        <rFont val="Times New Roman"/>
        <family val="1"/>
        <charset val="186"/>
      </rPr>
      <t xml:space="preserve"> no kopējās pieļaujamās robežvērtības atbilstoši Komisijas deleģētās regulas Nr.480/2014 13.pantam.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</si>
</sst>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Times New Roman"/>
      <family val="2"/>
      <charset val="186"/>
    </font>
    <font>
      <sz val="12"/>
      <color theme="1"/>
      <name val="Times New Roman"/>
      <family val="1"/>
      <charset val="186"/>
    </font>
    <font>
      <sz val="11"/>
      <color theme="1"/>
      <name val="Calibri"/>
      <family val="2"/>
      <charset val="186"/>
    </font>
    <font>
      <sz val="12"/>
      <color rgb="FF000000"/>
      <name val="Times New Roman"/>
      <family val="1"/>
      <charset val="186"/>
    </font>
    <font>
      <vertAlign val="superscript"/>
      <sz val="12"/>
      <color theme="1"/>
      <name val="Times New Roman"/>
      <family val="1"/>
      <charset val="186"/>
    </font>
    <font>
      <vertAlign val="superscript"/>
      <sz val="12"/>
      <color rgb="FF000000"/>
      <name val="Times New Roman"/>
      <family val="1"/>
      <charset val="186"/>
    </font>
    <font>
      <b/>
      <sz val="12"/>
      <color theme="1"/>
      <name val="Times New Roman"/>
      <family val="1"/>
      <charset val="186"/>
    </font>
    <font>
      <sz val="12"/>
      <color theme="1"/>
      <name val="Times New Roman"/>
      <family val="2"/>
      <charset val="186"/>
    </font>
    <font>
      <b/>
      <sz val="12"/>
      <color rgb="FF000000"/>
      <name val="Times New Roman"/>
      <family val="1"/>
      <charset val="186"/>
    </font>
    <font>
      <b/>
      <u/>
      <sz val="12"/>
      <color theme="1"/>
      <name val="Times New Roman"/>
      <family val="1"/>
      <charset val="186"/>
    </font>
    <font>
      <i/>
      <sz val="12"/>
      <color theme="1"/>
      <name val="Times New Roman"/>
      <family val="1"/>
      <charset val="186"/>
    </font>
    <font>
      <sz val="12"/>
      <color rgb="FFFF0000"/>
      <name val="Times New Roman"/>
      <family val="1"/>
      <charset val="186"/>
    </font>
    <font>
      <sz val="12"/>
      <name val="Times New Roman"/>
      <family val="1"/>
      <charset val="186"/>
    </font>
    <font>
      <i/>
      <sz val="12"/>
      <name val="Times New Roman"/>
      <family val="1"/>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7" fillId="0" borderId="0" applyFont="0" applyFill="0" applyBorder="0" applyAlignment="0" applyProtection="0"/>
  </cellStyleXfs>
  <cellXfs count="73">
    <xf numFmtId="0" fontId="0" fillId="0" borderId="0" xfId="0"/>
    <xf numFmtId="0" fontId="1" fillId="0" borderId="0" xfId="0" applyFont="1" applyAlignment="1">
      <alignment vertical="center" wrapText="1"/>
    </xf>
    <xf numFmtId="3" fontId="1" fillId="0" borderId="0" xfId="0" applyNumberFormat="1" applyFont="1" applyAlignment="1">
      <alignment vertical="center" wrapText="1"/>
    </xf>
    <xf numFmtId="4" fontId="0" fillId="0" borderId="0" xfId="0" applyNumberFormat="1"/>
    <xf numFmtId="0" fontId="0" fillId="2" borderId="0" xfId="0" applyFill="1" applyAlignment="1">
      <alignment wrapText="1"/>
    </xf>
    <xf numFmtId="0" fontId="0" fillId="2" borderId="0" xfId="0" applyFill="1"/>
    <xf numFmtId="0" fontId="1" fillId="2" borderId="0" xfId="0" applyFont="1" applyFill="1"/>
    <xf numFmtId="0" fontId="1" fillId="2" borderId="0" xfId="0" applyFont="1" applyFill="1" applyAlignment="1">
      <alignment vertical="center" wrapText="1"/>
    </xf>
    <xf numFmtId="3" fontId="3" fillId="0" borderId="6" xfId="0" applyNumberFormat="1" applyFont="1" applyBorder="1" applyAlignment="1">
      <alignment vertical="center"/>
    </xf>
    <xf numFmtId="0" fontId="3" fillId="0" borderId="7" xfId="0" applyFont="1" applyBorder="1" applyAlignment="1">
      <alignment vertical="center"/>
    </xf>
    <xf numFmtId="3"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0" fontId="3" fillId="0" borderId="6" xfId="0" applyFont="1" applyBorder="1" applyAlignment="1">
      <alignment horizontal="right" vertical="center"/>
    </xf>
    <xf numFmtId="3" fontId="3" fillId="0" borderId="10" xfId="0" applyNumberFormat="1" applyFont="1" applyBorder="1" applyAlignment="1">
      <alignment horizontal="right" vertical="center"/>
    </xf>
    <xf numFmtId="164" fontId="3" fillId="0" borderId="6" xfId="0" applyNumberFormat="1" applyFont="1" applyBorder="1" applyAlignment="1">
      <alignment vertical="center"/>
    </xf>
    <xf numFmtId="164" fontId="3" fillId="0" borderId="10" xfId="1" applyNumberFormat="1" applyFont="1" applyFill="1" applyBorder="1" applyAlignment="1">
      <alignment horizontal="right" vertical="center"/>
    </xf>
    <xf numFmtId="9" fontId="3" fillId="0" borderId="6" xfId="1" applyFont="1" applyFill="1" applyBorder="1" applyAlignment="1">
      <alignment horizontal="right" vertical="center"/>
    </xf>
    <xf numFmtId="3" fontId="1" fillId="0" borderId="6" xfId="0" applyNumberFormat="1" applyFont="1" applyBorder="1" applyAlignment="1">
      <alignment horizontal="right" vertical="center" wrapText="1"/>
    </xf>
    <xf numFmtId="164" fontId="3" fillId="0" borderId="6" xfId="0" applyNumberFormat="1" applyFont="1" applyBorder="1" applyAlignment="1">
      <alignment horizontal="right" vertical="center"/>
    </xf>
    <xf numFmtId="49" fontId="3" fillId="0" borderId="6" xfId="0" applyNumberFormat="1" applyFont="1" applyBorder="1" applyAlignment="1">
      <alignment horizontal="right" vertical="center"/>
    </xf>
    <xf numFmtId="3" fontId="8" fillId="0" borderId="6" xfId="0" applyNumberFormat="1" applyFont="1" applyBorder="1" applyAlignment="1">
      <alignment horizontal="right" vertical="center"/>
    </xf>
    <xf numFmtId="164" fontId="8" fillId="0" borderId="6" xfId="0" applyNumberFormat="1" applyFont="1" applyBorder="1" applyAlignment="1">
      <alignment vertical="center"/>
    </xf>
    <xf numFmtId="164" fontId="8" fillId="0" borderId="6" xfId="1" applyNumberFormat="1" applyFont="1" applyFill="1" applyBorder="1" applyAlignment="1">
      <alignment horizontal="right" vertical="center"/>
    </xf>
    <xf numFmtId="3" fontId="8" fillId="0" borderId="6" xfId="0" applyNumberFormat="1" applyFont="1" applyBorder="1" applyAlignment="1">
      <alignment vertical="center"/>
    </xf>
    <xf numFmtId="1" fontId="3" fillId="0" borderId="6" xfId="0" applyNumberFormat="1" applyFont="1" applyBorder="1" applyAlignment="1">
      <alignment horizontal="right" vertical="center"/>
    </xf>
    <xf numFmtId="0" fontId="1"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right"/>
    </xf>
    <xf numFmtId="0" fontId="6" fillId="0" borderId="0" xfId="0" applyFont="1" applyAlignment="1">
      <alignment vertical="center"/>
    </xf>
    <xf numFmtId="0" fontId="2" fillId="0" borderId="0" xfId="0" applyFont="1" applyAlignment="1">
      <alignment vertical="center"/>
    </xf>
    <xf numFmtId="0" fontId="3" fillId="0" borderId="5" xfId="0" applyFont="1" applyBorder="1" applyAlignment="1">
      <alignment horizontal="right" vertical="center" wrapText="1"/>
    </xf>
    <xf numFmtId="0" fontId="3" fillId="0" borderId="13" xfId="0" applyFont="1" applyBorder="1" applyAlignment="1">
      <alignment horizontal="right" vertical="center"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3" fillId="0" borderId="10" xfId="0" applyFont="1" applyBorder="1" applyAlignment="1">
      <alignment horizontal="center" vertical="center" wrapText="1"/>
    </xf>
    <xf numFmtId="0" fontId="8" fillId="0" borderId="7" xfId="0" applyFont="1" applyBorder="1" applyAlignment="1">
      <alignment vertical="center"/>
    </xf>
    <xf numFmtId="3" fontId="0" fillId="0" borderId="0" xfId="0" applyNumberFormat="1"/>
    <xf numFmtId="0" fontId="3" fillId="0" borderId="7" xfId="0" applyFont="1" applyBorder="1" applyAlignment="1">
      <alignment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vertical="center" wrapText="1"/>
    </xf>
    <xf numFmtId="164" fontId="3" fillId="0" borderId="1" xfId="0" applyNumberFormat="1" applyFont="1" applyBorder="1" applyAlignment="1">
      <alignment vertical="center"/>
    </xf>
    <xf numFmtId="164" fontId="3" fillId="0" borderId="7" xfId="0" applyNumberFormat="1" applyFont="1" applyBorder="1" applyAlignment="1">
      <alignment vertical="center"/>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3" fontId="3" fillId="0" borderId="1" xfId="0" applyNumberFormat="1" applyFont="1" applyBorder="1" applyAlignment="1">
      <alignment horizontal="right" vertical="center"/>
    </xf>
    <xf numFmtId="3"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7" xfId="0" applyNumberFormat="1" applyFont="1" applyBorder="1" applyAlignment="1">
      <alignment horizontal="center" vertical="center"/>
    </xf>
    <xf numFmtId="9" fontId="3" fillId="0" borderId="1" xfId="1" applyFont="1" applyFill="1" applyBorder="1" applyAlignment="1">
      <alignment horizontal="right" vertical="center"/>
    </xf>
    <xf numFmtId="9" fontId="3" fillId="0" borderId="7" xfId="1" applyFont="1"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9"/>
  <sheetViews>
    <sheetView view="pageBreakPreview" zoomScaleNormal="100" zoomScaleSheetLayoutView="100" workbookViewId="0">
      <selection activeCell="F2" sqref="A1:XFD1048576"/>
    </sheetView>
  </sheetViews>
  <sheetFormatPr defaultRowHeight="15.5" outlineLevelCol="1" x14ac:dyDescent="0.35"/>
  <cols>
    <col min="1" max="1" width="20.83203125" customWidth="1"/>
    <col min="2" max="2" width="14.33203125" customWidth="1"/>
    <col min="3" max="3" width="13.5" customWidth="1"/>
    <col min="4" max="4" width="21.5" customWidth="1" outlineLevel="1"/>
    <col min="5" max="5" width="12.58203125" customWidth="1"/>
    <col min="6" max="6" width="12.33203125" customWidth="1"/>
    <col min="7" max="7" width="18" customWidth="1"/>
    <col min="8" max="11" width="18" customWidth="1" outlineLevel="1"/>
    <col min="12" max="12" width="11" customWidth="1"/>
    <col min="13" max="13" width="13.83203125" customWidth="1"/>
    <col min="14" max="14" width="11.25" customWidth="1"/>
    <col min="15" max="15" width="15.83203125" customWidth="1"/>
    <col min="16" max="16" width="15.25" customWidth="1"/>
    <col min="17" max="17" width="12.33203125" customWidth="1"/>
    <col min="18" max="18" width="17.08203125" customWidth="1"/>
    <col min="19" max="19" width="15.75" customWidth="1"/>
  </cols>
  <sheetData>
    <row r="1" spans="1:22" x14ac:dyDescent="0.35">
      <c r="S1" s="27" t="s">
        <v>56</v>
      </c>
    </row>
    <row r="3" spans="1:22" x14ac:dyDescent="0.35">
      <c r="A3" s="28" t="s">
        <v>57</v>
      </c>
      <c r="B3" s="29"/>
      <c r="F3" s="29"/>
    </row>
    <row r="4" spans="1:22" x14ac:dyDescent="0.35">
      <c r="A4" s="28"/>
      <c r="B4" s="29"/>
      <c r="F4" s="29"/>
    </row>
    <row r="5" spans="1:22" ht="31.5" customHeight="1" x14ac:dyDescent="0.35">
      <c r="A5" s="55" t="s">
        <v>66</v>
      </c>
      <c r="B5" s="55"/>
      <c r="C5" s="55"/>
      <c r="D5" s="55"/>
      <c r="E5" s="55"/>
      <c r="F5" s="55"/>
      <c r="G5" s="55"/>
      <c r="H5" s="55"/>
      <c r="I5" s="55"/>
      <c r="J5" s="55"/>
      <c r="K5" s="55"/>
      <c r="L5" s="55"/>
      <c r="M5" s="55"/>
      <c r="N5" s="55"/>
      <c r="O5" s="55"/>
      <c r="P5" s="55"/>
      <c r="Q5" s="55"/>
      <c r="R5" s="55"/>
      <c r="S5" s="55"/>
    </row>
    <row r="6" spans="1:22" ht="16" thickBot="1" x14ac:dyDescent="0.4">
      <c r="A6" s="25"/>
      <c r="B6" s="25"/>
      <c r="C6" s="25"/>
      <c r="D6" s="25"/>
      <c r="E6" s="25"/>
      <c r="F6" s="25"/>
      <c r="G6" s="25"/>
      <c r="H6" s="25"/>
      <c r="I6" s="25"/>
      <c r="J6" s="25"/>
      <c r="K6" s="25"/>
      <c r="L6" s="25"/>
      <c r="M6" s="25"/>
      <c r="N6" s="25"/>
      <c r="O6" s="25"/>
      <c r="P6" s="25"/>
      <c r="Q6" s="25"/>
      <c r="R6" s="25"/>
      <c r="S6" s="25"/>
    </row>
    <row r="7" spans="1:22" ht="21" hidden="1" customHeight="1" thickBot="1" x14ac:dyDescent="0.4">
      <c r="B7" t="s">
        <v>50</v>
      </c>
      <c r="C7" t="s">
        <v>33</v>
      </c>
      <c r="D7" t="s">
        <v>37</v>
      </c>
      <c r="H7" t="s">
        <v>32</v>
      </c>
      <c r="I7" t="s">
        <v>34</v>
      </c>
      <c r="J7" t="s">
        <v>31</v>
      </c>
      <c r="K7" t="s">
        <v>36</v>
      </c>
      <c r="L7" t="s">
        <v>33</v>
      </c>
      <c r="O7" t="s">
        <v>45</v>
      </c>
      <c r="P7" t="s">
        <v>45</v>
      </c>
      <c r="Q7" t="s">
        <v>65</v>
      </c>
    </row>
    <row r="8" spans="1:22" ht="46.5" customHeight="1" thickBot="1" x14ac:dyDescent="0.4">
      <c r="A8" s="60" t="s">
        <v>0</v>
      </c>
      <c r="B8" s="60" t="s">
        <v>19</v>
      </c>
      <c r="C8" s="46" t="s">
        <v>58</v>
      </c>
      <c r="D8" s="47"/>
      <c r="E8" s="47"/>
      <c r="F8" s="48"/>
      <c r="G8" s="30"/>
      <c r="H8" s="30"/>
      <c r="I8" s="30"/>
      <c r="J8" s="30"/>
      <c r="K8" s="31"/>
      <c r="L8" s="46" t="s">
        <v>60</v>
      </c>
      <c r="M8" s="47"/>
      <c r="N8" s="47"/>
      <c r="O8" s="47"/>
      <c r="P8" s="48"/>
      <c r="Q8" s="46" t="s">
        <v>61</v>
      </c>
      <c r="R8" s="47"/>
      <c r="S8" s="48"/>
      <c r="T8" s="1"/>
    </row>
    <row r="9" spans="1:22" ht="27.75" customHeight="1" thickBot="1" x14ac:dyDescent="0.4">
      <c r="A9" s="61"/>
      <c r="B9" s="61"/>
      <c r="C9" s="49"/>
      <c r="D9" s="50"/>
      <c r="E9" s="50"/>
      <c r="F9" s="51"/>
      <c r="G9" s="58" t="s">
        <v>59</v>
      </c>
      <c r="H9" s="66" t="s">
        <v>16</v>
      </c>
      <c r="I9" s="67"/>
      <c r="J9" s="68"/>
      <c r="K9" s="60" t="s">
        <v>15</v>
      </c>
      <c r="L9" s="49"/>
      <c r="M9" s="50"/>
      <c r="N9" s="50"/>
      <c r="O9" s="50"/>
      <c r="P9" s="51"/>
      <c r="Q9" s="49"/>
      <c r="R9" s="50"/>
      <c r="S9" s="51"/>
      <c r="T9" s="1"/>
    </row>
    <row r="10" spans="1:22" ht="99" customHeight="1" thickBot="1" x14ac:dyDescent="0.4">
      <c r="A10" s="62"/>
      <c r="B10" s="63"/>
      <c r="C10" s="32" t="s">
        <v>20</v>
      </c>
      <c r="D10" s="32" t="s">
        <v>49</v>
      </c>
      <c r="E10" s="33" t="s">
        <v>11</v>
      </c>
      <c r="F10" s="34" t="s">
        <v>25</v>
      </c>
      <c r="G10" s="59"/>
      <c r="H10" s="34" t="s">
        <v>13</v>
      </c>
      <c r="I10" s="35" t="s">
        <v>12</v>
      </c>
      <c r="J10" s="34" t="s">
        <v>14</v>
      </c>
      <c r="K10" s="63"/>
      <c r="L10" s="36" t="s">
        <v>13</v>
      </c>
      <c r="M10" s="37" t="s">
        <v>21</v>
      </c>
      <c r="N10" s="33" t="s">
        <v>11</v>
      </c>
      <c r="O10" s="32" t="s">
        <v>22</v>
      </c>
      <c r="P10" s="32" t="s">
        <v>23</v>
      </c>
      <c r="Q10" s="38" t="s">
        <v>1</v>
      </c>
      <c r="R10" s="39" t="s">
        <v>2</v>
      </c>
      <c r="S10" s="39" t="s">
        <v>3</v>
      </c>
      <c r="T10" s="1"/>
    </row>
    <row r="11" spans="1:22" ht="31.5" thickBot="1" x14ac:dyDescent="0.4">
      <c r="A11" s="40">
        <v>1</v>
      </c>
      <c r="B11" s="41">
        <v>2</v>
      </c>
      <c r="C11" s="38">
        <v>3</v>
      </c>
      <c r="D11" s="38">
        <v>4</v>
      </c>
      <c r="E11" s="38" t="s">
        <v>24</v>
      </c>
      <c r="F11" s="41" t="s">
        <v>30</v>
      </c>
      <c r="G11" s="42" t="s">
        <v>26</v>
      </c>
      <c r="H11" s="38" t="s">
        <v>35</v>
      </c>
      <c r="I11" s="38">
        <v>9</v>
      </c>
      <c r="J11" s="38">
        <v>10</v>
      </c>
      <c r="K11" s="38">
        <v>11</v>
      </c>
      <c r="L11" s="38" t="s">
        <v>27</v>
      </c>
      <c r="M11" s="38" t="s">
        <v>29</v>
      </c>
      <c r="N11" s="38" t="s">
        <v>28</v>
      </c>
      <c r="O11" s="38">
        <v>15</v>
      </c>
      <c r="P11" s="38">
        <v>16</v>
      </c>
      <c r="Q11" s="38">
        <v>17</v>
      </c>
      <c r="R11" s="35">
        <v>18</v>
      </c>
      <c r="S11" s="35">
        <v>19</v>
      </c>
      <c r="T11" s="1"/>
    </row>
    <row r="12" spans="1:22" ht="19" thickBot="1" x14ac:dyDescent="0.4">
      <c r="A12" s="9" t="s">
        <v>4</v>
      </c>
      <c r="B12" s="19" t="s">
        <v>55</v>
      </c>
      <c r="C12" s="12" t="s">
        <v>18</v>
      </c>
      <c r="D12" s="12" t="s">
        <v>18</v>
      </c>
      <c r="E12" s="12" t="s">
        <v>18</v>
      </c>
      <c r="F12" s="10" t="s">
        <v>18</v>
      </c>
      <c r="G12" s="10">
        <v>2004521.74</v>
      </c>
      <c r="H12" s="10">
        <v>2039147.8</v>
      </c>
      <c r="I12" s="10">
        <v>1558687.72</v>
      </c>
      <c r="J12" s="10">
        <v>480460.08</v>
      </c>
      <c r="K12" s="10">
        <v>2004521.74</v>
      </c>
      <c r="L12" s="10">
        <v>2004521.74</v>
      </c>
      <c r="M12" s="16">
        <v>1</v>
      </c>
      <c r="N12" s="14">
        <v>1.245044557459572E-3</v>
      </c>
      <c r="O12" s="10">
        <v>1921534.21</v>
      </c>
      <c r="P12" s="10">
        <v>82988</v>
      </c>
      <c r="Q12" s="10">
        <v>417638</v>
      </c>
      <c r="R12" s="17">
        <v>334650</v>
      </c>
      <c r="S12" s="17">
        <v>82988</v>
      </c>
      <c r="T12" s="1"/>
    </row>
    <row r="13" spans="1:22" ht="16" thickBot="1" x14ac:dyDescent="0.4">
      <c r="A13" s="9" t="s">
        <v>5</v>
      </c>
      <c r="B13" s="64">
        <v>15000000</v>
      </c>
      <c r="C13" s="10">
        <v>3465966.39</v>
      </c>
      <c r="D13" s="13">
        <v>11687188.970000001</v>
      </c>
      <c r="E13" s="56">
        <v>0.26488145600000002</v>
      </c>
      <c r="F13" s="15">
        <v>0.26274594659297895</v>
      </c>
      <c r="G13" s="10">
        <v>910668.62000000011</v>
      </c>
      <c r="H13" s="10">
        <v>910668.62000000011</v>
      </c>
      <c r="I13" s="10">
        <v>351140.09</v>
      </c>
      <c r="J13" s="10">
        <v>559528.53</v>
      </c>
      <c r="K13" s="10">
        <v>998568.12</v>
      </c>
      <c r="L13" s="10">
        <v>910668.62</v>
      </c>
      <c r="M13" s="16">
        <v>0.99999999999999989</v>
      </c>
      <c r="N13" s="56">
        <v>7.0605788666666669E-2</v>
      </c>
      <c r="O13" s="10">
        <v>392114.58</v>
      </c>
      <c r="P13" s="10">
        <v>518554.04</v>
      </c>
      <c r="Q13" s="10">
        <v>9110.3099999999977</v>
      </c>
      <c r="R13" s="17">
        <v>3550.3600000000442</v>
      </c>
      <c r="S13" s="17">
        <v>5559.9499999999534</v>
      </c>
      <c r="T13" s="2"/>
      <c r="U13" s="3"/>
      <c r="V13" s="3"/>
    </row>
    <row r="14" spans="1:22" ht="16" thickBot="1" x14ac:dyDescent="0.4">
      <c r="A14" s="9" t="s">
        <v>6</v>
      </c>
      <c r="B14" s="65"/>
      <c r="C14" s="10">
        <v>507255.45</v>
      </c>
      <c r="D14" s="10">
        <v>1741360.94</v>
      </c>
      <c r="E14" s="57"/>
      <c r="F14" s="15">
        <v>0.29259066610324241</v>
      </c>
      <c r="G14" s="10">
        <v>148418.21</v>
      </c>
      <c r="H14" s="10">
        <v>148418.21</v>
      </c>
      <c r="I14" s="10">
        <v>51622.01</v>
      </c>
      <c r="J14" s="10">
        <v>96796.2</v>
      </c>
      <c r="K14" s="10">
        <v>154263.24</v>
      </c>
      <c r="L14" s="10">
        <v>148418.21</v>
      </c>
      <c r="M14" s="16">
        <v>1</v>
      </c>
      <c r="N14" s="57"/>
      <c r="O14" s="10">
        <v>68632.94</v>
      </c>
      <c r="P14" s="10">
        <v>79785.27</v>
      </c>
      <c r="Q14" s="10">
        <v>2054.5000000000146</v>
      </c>
      <c r="R14" s="17">
        <v>690.15000000000873</v>
      </c>
      <c r="S14" s="17">
        <v>1364.3500000000058</v>
      </c>
      <c r="T14" s="2"/>
      <c r="U14" s="3"/>
      <c r="V14" s="3"/>
    </row>
    <row r="15" spans="1:22" ht="16" thickBot="1" x14ac:dyDescent="0.4">
      <c r="A15" s="9" t="s">
        <v>7</v>
      </c>
      <c r="B15" s="8">
        <v>43800000</v>
      </c>
      <c r="C15" s="10">
        <v>31290978.609999999</v>
      </c>
      <c r="D15" s="10">
        <v>239268418.10449988</v>
      </c>
      <c r="E15" s="14">
        <v>0.71440590433789952</v>
      </c>
      <c r="F15" s="15">
        <v>6.9936853598456375E-2</v>
      </c>
      <c r="G15" s="10">
        <v>2188392.59</v>
      </c>
      <c r="H15" s="10">
        <v>2188392.59</v>
      </c>
      <c r="I15" s="10">
        <v>791568.51</v>
      </c>
      <c r="J15" s="10">
        <v>1396824.08</v>
      </c>
      <c r="K15" s="10">
        <v>3050000</v>
      </c>
      <c r="L15" s="10">
        <v>2188392.59</v>
      </c>
      <c r="M15" s="16">
        <v>1</v>
      </c>
      <c r="N15" s="14">
        <v>4.9963301141552507E-2</v>
      </c>
      <c r="O15" s="10">
        <v>928344.04</v>
      </c>
      <c r="P15" s="10">
        <v>1260048.55</v>
      </c>
      <c r="Q15" s="10">
        <v>850555.44000000006</v>
      </c>
      <c r="R15" s="17">
        <v>331859.51</v>
      </c>
      <c r="S15" s="17">
        <v>518695.93000000005</v>
      </c>
      <c r="T15" s="2"/>
      <c r="U15" s="3"/>
      <c r="V15" s="3"/>
    </row>
    <row r="16" spans="1:22" ht="16" thickBot="1" x14ac:dyDescent="0.4">
      <c r="A16" s="9" t="s">
        <v>8</v>
      </c>
      <c r="B16" s="8">
        <v>7000000</v>
      </c>
      <c r="C16" s="10">
        <v>3831687.18</v>
      </c>
      <c r="D16" s="10">
        <v>8775906.3200000003</v>
      </c>
      <c r="E16" s="14">
        <v>0.5473838828571429</v>
      </c>
      <c r="F16" s="15">
        <v>0.16677930373220079</v>
      </c>
      <c r="G16" s="10">
        <v>639046.12000000011</v>
      </c>
      <c r="H16" s="10">
        <v>639046.12000000011</v>
      </c>
      <c r="I16" s="10">
        <v>268534.28000000003</v>
      </c>
      <c r="J16" s="10">
        <v>370511.84</v>
      </c>
      <c r="K16" s="10">
        <v>787550.53</v>
      </c>
      <c r="L16" s="10">
        <v>639046.12</v>
      </c>
      <c r="M16" s="16">
        <v>0.99999999999999978</v>
      </c>
      <c r="N16" s="14">
        <v>9.1292302857142862E-2</v>
      </c>
      <c r="O16" s="10">
        <v>397480.95</v>
      </c>
      <c r="P16" s="10">
        <v>241565.17</v>
      </c>
      <c r="Q16" s="10">
        <v>43719.570000000007</v>
      </c>
      <c r="R16" s="17">
        <v>18211.309999999998</v>
      </c>
      <c r="S16" s="17">
        <v>25508.260000000009</v>
      </c>
      <c r="T16" s="2"/>
      <c r="U16" s="3"/>
      <c r="V16" s="3"/>
    </row>
    <row r="17" spans="1:20" ht="16" thickBot="1" x14ac:dyDescent="0.4">
      <c r="A17" s="9" t="s">
        <v>9</v>
      </c>
      <c r="B17" s="8">
        <v>16000000</v>
      </c>
      <c r="C17" s="10">
        <v>4690998.32</v>
      </c>
      <c r="D17" s="11">
        <v>5590583.6000000006</v>
      </c>
      <c r="E17" s="14">
        <v>0.29318739500000002</v>
      </c>
      <c r="F17" s="15">
        <v>0.7765005658752826</v>
      </c>
      <c r="G17" s="10">
        <v>3642562.85</v>
      </c>
      <c r="H17" s="12" t="s">
        <v>18</v>
      </c>
      <c r="I17" s="12" t="s">
        <v>18</v>
      </c>
      <c r="J17" s="12" t="s">
        <v>18</v>
      </c>
      <c r="K17" s="12" t="s">
        <v>18</v>
      </c>
      <c r="L17" s="10">
        <v>3642562.85</v>
      </c>
      <c r="M17" s="16">
        <v>1</v>
      </c>
      <c r="N17" s="14">
        <v>0.227660178125</v>
      </c>
      <c r="O17" s="12">
        <v>0</v>
      </c>
      <c r="P17" s="10">
        <v>3642562.85</v>
      </c>
      <c r="Q17" s="10">
        <v>759902.52</v>
      </c>
      <c r="R17" s="17">
        <v>0</v>
      </c>
      <c r="S17" s="17">
        <v>759902.52</v>
      </c>
      <c r="T17" s="1"/>
    </row>
    <row r="18" spans="1:20" ht="16" thickBot="1" x14ac:dyDescent="0.4">
      <c r="A18" s="9" t="s">
        <v>10</v>
      </c>
      <c r="B18" s="8">
        <v>29200000</v>
      </c>
      <c r="C18" s="10">
        <v>10647725.09</v>
      </c>
      <c r="D18" s="10">
        <v>16182664.73</v>
      </c>
      <c r="E18" s="14">
        <v>0.36464811952054793</v>
      </c>
      <c r="F18" s="15">
        <v>0.3095172717311393</v>
      </c>
      <c r="G18" s="10">
        <v>3295654.82</v>
      </c>
      <c r="H18" s="12" t="s">
        <v>18</v>
      </c>
      <c r="I18" s="12" t="s">
        <v>18</v>
      </c>
      <c r="J18" s="12" t="s">
        <v>18</v>
      </c>
      <c r="K18" s="12" t="s">
        <v>18</v>
      </c>
      <c r="L18" s="10">
        <v>3295654.82</v>
      </c>
      <c r="M18" s="16">
        <v>1</v>
      </c>
      <c r="N18" s="14">
        <v>0.1128648910958904</v>
      </c>
      <c r="O18" s="12">
        <v>0</v>
      </c>
      <c r="P18" s="10">
        <v>3295654.82</v>
      </c>
      <c r="Q18" s="10">
        <v>1143552.5</v>
      </c>
      <c r="R18" s="17">
        <v>0</v>
      </c>
      <c r="S18" s="17">
        <v>1143552.5</v>
      </c>
      <c r="T18" s="1"/>
    </row>
    <row r="19" spans="1:20" ht="31.5" thickBot="1" x14ac:dyDescent="0.4">
      <c r="A19" s="45" t="s">
        <v>74</v>
      </c>
      <c r="B19" s="8">
        <v>18000000</v>
      </c>
      <c r="C19" s="10">
        <v>0</v>
      </c>
      <c r="D19" s="10">
        <v>0</v>
      </c>
      <c r="E19" s="14">
        <v>0</v>
      </c>
      <c r="F19" s="15">
        <v>0</v>
      </c>
      <c r="G19" s="10">
        <v>0</v>
      </c>
      <c r="H19" s="12">
        <v>0</v>
      </c>
      <c r="I19" s="12">
        <v>0</v>
      </c>
      <c r="J19" s="12">
        <v>0</v>
      </c>
      <c r="K19" s="12">
        <v>0</v>
      </c>
      <c r="L19" s="10">
        <v>0</v>
      </c>
      <c r="M19" s="16">
        <v>0</v>
      </c>
      <c r="N19" s="14">
        <v>0</v>
      </c>
      <c r="O19" s="12">
        <v>0</v>
      </c>
      <c r="P19" s="10">
        <v>0</v>
      </c>
      <c r="Q19" s="10">
        <v>0</v>
      </c>
      <c r="R19" s="17">
        <v>0</v>
      </c>
      <c r="S19" s="17">
        <v>0</v>
      </c>
      <c r="T19" s="1"/>
    </row>
    <row r="20" spans="1:20" ht="16" thickBot="1" x14ac:dyDescent="0.4">
      <c r="A20" s="9" t="s">
        <v>75</v>
      </c>
      <c r="B20" s="8">
        <v>32000000</v>
      </c>
      <c r="C20" s="10">
        <v>0</v>
      </c>
      <c r="D20" s="10">
        <v>0</v>
      </c>
      <c r="E20" s="14">
        <v>0</v>
      </c>
      <c r="F20" s="15">
        <v>0</v>
      </c>
      <c r="G20" s="10">
        <v>0</v>
      </c>
      <c r="H20" s="12">
        <v>0</v>
      </c>
      <c r="I20" s="12">
        <v>0</v>
      </c>
      <c r="J20" s="12">
        <v>0</v>
      </c>
      <c r="K20" s="12">
        <v>0</v>
      </c>
      <c r="L20" s="10">
        <v>0</v>
      </c>
      <c r="M20" s="16">
        <v>0</v>
      </c>
      <c r="N20" s="14">
        <v>0</v>
      </c>
      <c r="O20" s="12">
        <v>0</v>
      </c>
      <c r="P20" s="10">
        <v>0</v>
      </c>
      <c r="Q20" s="10">
        <v>0</v>
      </c>
      <c r="R20" s="17">
        <v>0</v>
      </c>
      <c r="S20" s="17">
        <v>0</v>
      </c>
      <c r="T20" s="1"/>
    </row>
    <row r="21" spans="1:20" ht="16" thickBot="1" x14ac:dyDescent="0.4">
      <c r="A21" s="43" t="s">
        <v>1</v>
      </c>
      <c r="B21" s="23">
        <v>161000000</v>
      </c>
      <c r="C21" s="20">
        <v>54434611.040000007</v>
      </c>
      <c r="D21" s="20">
        <v>283246122.66449988</v>
      </c>
      <c r="E21" s="21">
        <v>0.33810317416149072</v>
      </c>
      <c r="F21" s="22">
        <v>0.23568212769211697</v>
      </c>
      <c r="G21" s="20">
        <v>12829264.950000001</v>
      </c>
      <c r="H21" s="20">
        <v>5925673.3399999999</v>
      </c>
      <c r="I21" s="20">
        <v>3021552.6100000003</v>
      </c>
      <c r="J21" s="20">
        <v>2904120.73</v>
      </c>
      <c r="K21" s="20">
        <v>6994903.6299999999</v>
      </c>
      <c r="L21" s="20">
        <v>12829264.950000001</v>
      </c>
      <c r="M21" s="21">
        <v>1</v>
      </c>
      <c r="N21" s="21">
        <v>7.9684875465838523E-2</v>
      </c>
      <c r="O21" s="20">
        <v>3708106.72</v>
      </c>
      <c r="P21" s="20">
        <v>9121158.7000000011</v>
      </c>
      <c r="Q21" s="20">
        <v>3226532.84</v>
      </c>
      <c r="R21" s="20">
        <v>688961.33000000007</v>
      </c>
      <c r="S21" s="20">
        <v>2537571.5099999998</v>
      </c>
      <c r="T21" s="1"/>
    </row>
    <row r="22" spans="1:20" x14ac:dyDescent="0.35">
      <c r="O22" s="44"/>
    </row>
    <row r="23" spans="1:20" ht="140.25" customHeight="1" x14ac:dyDescent="0.35">
      <c r="A23" s="52" t="s">
        <v>62</v>
      </c>
      <c r="B23" s="52"/>
      <c r="C23" s="52"/>
      <c r="D23" s="52"/>
      <c r="E23" s="52"/>
      <c r="F23" s="52"/>
      <c r="G23" s="52"/>
      <c r="H23" s="52"/>
      <c r="I23" s="52"/>
      <c r="J23" s="52"/>
      <c r="K23" s="52"/>
      <c r="L23" s="52"/>
      <c r="M23" s="52"/>
      <c r="N23" s="52"/>
      <c r="O23" s="52"/>
      <c r="P23" s="52"/>
      <c r="Q23" s="52"/>
      <c r="R23" s="52"/>
      <c r="S23" s="52"/>
    </row>
    <row r="24" spans="1:20" ht="19.5" customHeight="1" x14ac:dyDescent="0.35">
      <c r="A24" s="52" t="s">
        <v>63</v>
      </c>
      <c r="B24" s="52"/>
      <c r="C24" s="52"/>
      <c r="D24" s="52"/>
      <c r="E24" s="52"/>
      <c r="F24" s="52"/>
      <c r="G24" s="52"/>
      <c r="H24" s="52"/>
      <c r="I24" s="52"/>
      <c r="J24" s="52"/>
      <c r="K24" s="52"/>
      <c r="L24" s="52"/>
      <c r="M24" s="52"/>
      <c r="N24" s="52"/>
      <c r="O24" s="52"/>
      <c r="P24" s="52"/>
      <c r="Q24" s="52"/>
      <c r="R24" s="52"/>
      <c r="S24" s="52"/>
    </row>
    <row r="25" spans="1:20" ht="36" customHeight="1" x14ac:dyDescent="0.35">
      <c r="A25" s="52" t="s">
        <v>53</v>
      </c>
      <c r="B25" s="52"/>
      <c r="C25" s="52"/>
      <c r="D25" s="52"/>
      <c r="E25" s="52"/>
      <c r="F25" s="52"/>
      <c r="G25" s="52"/>
      <c r="H25" s="52"/>
      <c r="I25" s="52"/>
      <c r="J25" s="52"/>
      <c r="K25" s="52"/>
      <c r="L25" s="52"/>
      <c r="M25" s="52"/>
      <c r="N25" s="52"/>
      <c r="O25" s="52"/>
      <c r="P25" s="52"/>
      <c r="Q25" s="52"/>
      <c r="R25" s="52"/>
      <c r="S25" s="52"/>
    </row>
    <row r="26" spans="1:20" ht="83.25" customHeight="1" x14ac:dyDescent="0.35">
      <c r="A26" s="53" t="s">
        <v>54</v>
      </c>
      <c r="B26" s="54"/>
      <c r="C26" s="54"/>
      <c r="D26" s="54"/>
      <c r="E26" s="54"/>
      <c r="F26" s="54"/>
      <c r="G26" s="54"/>
      <c r="H26" s="54"/>
      <c r="I26" s="54"/>
      <c r="J26" s="54"/>
      <c r="K26" s="54"/>
      <c r="L26" s="54"/>
      <c r="M26" s="54"/>
      <c r="N26" s="54"/>
      <c r="O26" s="54"/>
      <c r="P26" s="54"/>
      <c r="Q26" s="54"/>
      <c r="R26" s="54"/>
      <c r="S26" s="54"/>
    </row>
    <row r="27" spans="1:20" ht="16.5" customHeight="1" x14ac:dyDescent="0.35">
      <c r="A27" s="52" t="s">
        <v>64</v>
      </c>
      <c r="B27" s="52"/>
      <c r="C27" s="52"/>
      <c r="D27" s="52"/>
      <c r="E27" s="52"/>
      <c r="F27" s="52"/>
      <c r="G27" s="52"/>
      <c r="H27" s="26"/>
      <c r="I27" s="26"/>
      <c r="J27" s="26"/>
      <c r="K27" s="26"/>
      <c r="L27" s="26"/>
      <c r="M27" s="26"/>
      <c r="N27" s="26"/>
      <c r="O27" s="26"/>
      <c r="P27" s="26"/>
      <c r="Q27" s="26"/>
      <c r="R27" s="26"/>
      <c r="S27" s="26"/>
    </row>
    <row r="28" spans="1:20" x14ac:dyDescent="0.35">
      <c r="A28" s="6" t="s">
        <v>44</v>
      </c>
      <c r="B28" s="5"/>
      <c r="C28" s="5"/>
      <c r="D28" s="5"/>
      <c r="E28" s="5"/>
      <c r="F28" s="5"/>
      <c r="G28" s="5"/>
      <c r="H28" s="5"/>
      <c r="I28" s="5"/>
      <c r="J28" s="5"/>
      <c r="K28" s="5"/>
      <c r="L28" s="5"/>
      <c r="M28" s="5"/>
      <c r="N28" s="5"/>
      <c r="O28" s="5"/>
      <c r="P28" s="5"/>
      <c r="Q28" s="5"/>
      <c r="R28" s="5"/>
      <c r="S28" s="5"/>
    </row>
    <row r="49" spans="16:16" x14ac:dyDescent="0.35">
      <c r="P49" s="4"/>
    </row>
  </sheetData>
  <mergeCells count="17">
    <mergeCell ref="K9:K10"/>
    <mergeCell ref="C8:F9"/>
    <mergeCell ref="A24:S24"/>
    <mergeCell ref="A27:G27"/>
    <mergeCell ref="A26:S26"/>
    <mergeCell ref="A5:S5"/>
    <mergeCell ref="E13:E14"/>
    <mergeCell ref="A23:S23"/>
    <mergeCell ref="A25:S25"/>
    <mergeCell ref="G9:G10"/>
    <mergeCell ref="A8:A10"/>
    <mergeCell ref="L8:P9"/>
    <mergeCell ref="B8:B10"/>
    <mergeCell ref="Q8:S9"/>
    <mergeCell ref="B13:B14"/>
    <mergeCell ref="N13:N14"/>
    <mergeCell ref="H9:J9"/>
  </mergeCells>
  <pageMargins left="0.7" right="0.7"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
  <sheetViews>
    <sheetView view="pageBreakPreview" zoomScaleNormal="100" zoomScaleSheetLayoutView="100" workbookViewId="0">
      <pane xSplit="1" ySplit="11" topLeftCell="B12" activePane="bottomRight" state="frozen"/>
      <selection pane="topRight" activeCell="B1" sqref="B1"/>
      <selection pane="bottomLeft" activeCell="A12" sqref="A12"/>
      <selection pane="bottomRight" sqref="A1:XFD1048576"/>
    </sheetView>
  </sheetViews>
  <sheetFormatPr defaultRowHeight="15.5" outlineLevelCol="1" x14ac:dyDescent="0.35"/>
  <cols>
    <col min="1" max="1" width="20.83203125" customWidth="1"/>
    <col min="2" max="2" width="14.33203125" customWidth="1"/>
    <col min="3" max="3" width="13.5" customWidth="1"/>
    <col min="4" max="4" width="21.5" customWidth="1" outlineLevel="1"/>
    <col min="5" max="5" width="12.58203125" customWidth="1"/>
    <col min="6" max="6" width="12.33203125" customWidth="1"/>
    <col min="7" max="7" width="18" customWidth="1"/>
    <col min="8" max="11" width="18" customWidth="1" outlineLevel="1"/>
    <col min="12" max="12" width="11" customWidth="1"/>
    <col min="13" max="13" width="13.83203125" customWidth="1"/>
    <col min="14" max="14" width="11.25" customWidth="1"/>
    <col min="15" max="15" width="15.83203125" customWidth="1"/>
    <col min="16" max="16" width="15.25" customWidth="1"/>
    <col min="17" max="17" width="9.83203125" bestFit="1" customWidth="1"/>
    <col min="18" max="18" width="17.08203125" customWidth="1"/>
    <col min="19" max="19" width="15.25" customWidth="1"/>
    <col min="20" max="20" width="6.33203125" style="5" hidden="1" customWidth="1"/>
  </cols>
  <sheetData>
    <row r="1" spans="1:20" x14ac:dyDescent="0.35">
      <c r="S1" s="27" t="s">
        <v>56</v>
      </c>
    </row>
    <row r="3" spans="1:20" x14ac:dyDescent="0.35">
      <c r="A3" s="28" t="s">
        <v>67</v>
      </c>
      <c r="B3" s="29"/>
      <c r="F3" s="29"/>
    </row>
    <row r="4" spans="1:20" x14ac:dyDescent="0.35">
      <c r="A4" s="28"/>
      <c r="B4" s="29"/>
      <c r="F4" s="29"/>
    </row>
    <row r="5" spans="1:20" ht="31.5" customHeight="1" x14ac:dyDescent="0.35">
      <c r="A5" s="55" t="s">
        <v>73</v>
      </c>
      <c r="B5" s="55"/>
      <c r="C5" s="55"/>
      <c r="D5" s="55"/>
      <c r="E5" s="55"/>
      <c r="F5" s="55"/>
      <c r="G5" s="55"/>
      <c r="H5" s="55"/>
      <c r="I5" s="55"/>
      <c r="J5" s="55"/>
      <c r="K5" s="55"/>
      <c r="L5" s="55"/>
      <c r="M5" s="55"/>
      <c r="N5" s="55"/>
      <c r="O5" s="55"/>
      <c r="P5" s="55"/>
      <c r="Q5" s="55"/>
      <c r="R5" s="55"/>
      <c r="S5" s="55"/>
    </row>
    <row r="6" spans="1:20" ht="16" thickBot="1" x14ac:dyDescent="0.4">
      <c r="A6" s="25"/>
      <c r="B6" s="25"/>
      <c r="C6" s="25"/>
      <c r="D6" s="25"/>
      <c r="E6" s="25"/>
      <c r="F6" s="25"/>
      <c r="G6" s="25"/>
      <c r="H6" s="25"/>
      <c r="I6" s="25"/>
      <c r="J6" s="25"/>
      <c r="K6" s="25"/>
      <c r="L6" s="25"/>
      <c r="M6" s="25"/>
      <c r="N6" s="25"/>
      <c r="O6" s="25"/>
      <c r="P6" s="25"/>
      <c r="Q6" s="25"/>
      <c r="R6" s="25"/>
      <c r="S6" s="25"/>
    </row>
    <row r="7" spans="1:20" ht="19.5" hidden="1" customHeight="1" thickBot="1" x14ac:dyDescent="0.4">
      <c r="B7" t="s">
        <v>51</v>
      </c>
      <c r="C7" t="s">
        <v>46</v>
      </c>
      <c r="D7" t="s">
        <v>47</v>
      </c>
      <c r="H7" t="s">
        <v>32</v>
      </c>
      <c r="I7" t="s">
        <v>42</v>
      </c>
      <c r="J7" t="s">
        <v>43</v>
      </c>
      <c r="K7" t="s">
        <v>36</v>
      </c>
      <c r="L7" t="s">
        <v>46</v>
      </c>
      <c r="O7" t="s">
        <v>48</v>
      </c>
      <c r="P7" t="s">
        <v>48</v>
      </c>
      <c r="Q7" t="s">
        <v>69</v>
      </c>
      <c r="T7"/>
    </row>
    <row r="8" spans="1:20" ht="46.5" customHeight="1" thickBot="1" x14ac:dyDescent="0.4">
      <c r="A8" s="60" t="s">
        <v>0</v>
      </c>
      <c r="B8" s="60" t="s">
        <v>19</v>
      </c>
      <c r="C8" s="46" t="s">
        <v>58</v>
      </c>
      <c r="D8" s="47"/>
      <c r="E8" s="47"/>
      <c r="F8" s="48"/>
      <c r="G8" s="30"/>
      <c r="H8" s="30"/>
      <c r="I8" s="30"/>
      <c r="J8" s="30"/>
      <c r="K8" s="31"/>
      <c r="L8" s="46" t="s">
        <v>71</v>
      </c>
      <c r="M8" s="47"/>
      <c r="N8" s="47"/>
      <c r="O8" s="47"/>
      <c r="P8" s="48"/>
      <c r="Q8" s="46" t="s">
        <v>72</v>
      </c>
      <c r="R8" s="47"/>
      <c r="S8" s="48"/>
      <c r="T8" s="7"/>
    </row>
    <row r="9" spans="1:20" ht="27.75" customHeight="1" thickBot="1" x14ac:dyDescent="0.4">
      <c r="A9" s="61"/>
      <c r="B9" s="61"/>
      <c r="C9" s="49"/>
      <c r="D9" s="50"/>
      <c r="E9" s="50"/>
      <c r="F9" s="51"/>
      <c r="G9" s="58" t="s">
        <v>52</v>
      </c>
      <c r="H9" s="66" t="s">
        <v>16</v>
      </c>
      <c r="I9" s="67"/>
      <c r="J9" s="68"/>
      <c r="K9" s="60" t="s">
        <v>15</v>
      </c>
      <c r="L9" s="49"/>
      <c r="M9" s="50"/>
      <c r="N9" s="50"/>
      <c r="O9" s="50"/>
      <c r="P9" s="51"/>
      <c r="Q9" s="49"/>
      <c r="R9" s="50"/>
      <c r="S9" s="51"/>
      <c r="T9" s="7"/>
    </row>
    <row r="10" spans="1:20" ht="99" customHeight="1" thickBot="1" x14ac:dyDescent="0.4">
      <c r="A10" s="62"/>
      <c r="B10" s="63"/>
      <c r="C10" s="32" t="s">
        <v>20</v>
      </c>
      <c r="D10" s="32" t="s">
        <v>17</v>
      </c>
      <c r="E10" s="33" t="s">
        <v>11</v>
      </c>
      <c r="F10" s="34" t="s">
        <v>25</v>
      </c>
      <c r="G10" s="59"/>
      <c r="H10" s="34" t="s">
        <v>13</v>
      </c>
      <c r="I10" s="35" t="s">
        <v>12</v>
      </c>
      <c r="J10" s="34" t="s">
        <v>14</v>
      </c>
      <c r="K10" s="63"/>
      <c r="L10" s="36" t="s">
        <v>13</v>
      </c>
      <c r="M10" s="37" t="s">
        <v>21</v>
      </c>
      <c r="N10" s="33" t="s">
        <v>11</v>
      </c>
      <c r="O10" s="32" t="s">
        <v>22</v>
      </c>
      <c r="P10" s="32" t="s">
        <v>23</v>
      </c>
      <c r="Q10" s="38" t="s">
        <v>1</v>
      </c>
      <c r="R10" s="39" t="s">
        <v>2</v>
      </c>
      <c r="S10" s="39" t="s">
        <v>3</v>
      </c>
      <c r="T10" s="7"/>
    </row>
    <row r="11" spans="1:20" ht="31.5" thickBot="1" x14ac:dyDescent="0.4">
      <c r="A11" s="40">
        <v>1</v>
      </c>
      <c r="B11" s="41">
        <v>2</v>
      </c>
      <c r="C11" s="38">
        <v>3</v>
      </c>
      <c r="D11" s="38">
        <v>4</v>
      </c>
      <c r="E11" s="38" t="s">
        <v>24</v>
      </c>
      <c r="F11" s="41" t="s">
        <v>30</v>
      </c>
      <c r="G11" s="42" t="s">
        <v>26</v>
      </c>
      <c r="H11" s="38" t="s">
        <v>35</v>
      </c>
      <c r="I11" s="38">
        <v>9</v>
      </c>
      <c r="J11" s="38">
        <v>10</v>
      </c>
      <c r="K11" s="38">
        <v>11</v>
      </c>
      <c r="L11" s="38" t="s">
        <v>27</v>
      </c>
      <c r="M11" s="38" t="s">
        <v>29</v>
      </c>
      <c r="N11" s="38" t="s">
        <v>28</v>
      </c>
      <c r="O11" s="38">
        <v>15</v>
      </c>
      <c r="P11" s="38">
        <v>16</v>
      </c>
      <c r="Q11" s="38">
        <v>17</v>
      </c>
      <c r="R11" s="35">
        <v>18</v>
      </c>
      <c r="S11" s="35">
        <v>19</v>
      </c>
      <c r="T11" s="7"/>
    </row>
    <row r="12" spans="1:20" ht="16" thickBot="1" x14ac:dyDescent="0.4">
      <c r="A12" s="9" t="s">
        <v>38</v>
      </c>
      <c r="B12" s="69">
        <v>25011823</v>
      </c>
      <c r="C12" s="10">
        <v>3556045.26</v>
      </c>
      <c r="D12" s="10">
        <v>11853485.059999999</v>
      </c>
      <c r="E12" s="14">
        <v>0.14217457320084184</v>
      </c>
      <c r="F12" s="18">
        <v>5.9183864268364236E-2</v>
      </c>
      <c r="G12" s="10">
        <v>685765.64</v>
      </c>
      <c r="H12" s="10">
        <v>685765.64</v>
      </c>
      <c r="I12" s="10">
        <v>306808.99</v>
      </c>
      <c r="J12" s="10">
        <v>378956.65</v>
      </c>
      <c r="K12" s="10">
        <v>1317735.72</v>
      </c>
      <c r="L12" s="10">
        <v>210460.5</v>
      </c>
      <c r="M12" s="16">
        <v>0.30689857835396944</v>
      </c>
      <c r="N12" s="14">
        <v>8.4144406427312402E-3</v>
      </c>
      <c r="O12" s="10">
        <v>104152.64</v>
      </c>
      <c r="P12" s="24">
        <v>106307.85999999999</v>
      </c>
      <c r="Q12" s="10">
        <v>114250.31999999998</v>
      </c>
      <c r="R12" s="17">
        <v>51115.17</v>
      </c>
      <c r="S12" s="17">
        <v>63135.14999999998</v>
      </c>
      <c r="T12" s="7"/>
    </row>
    <row r="13" spans="1:20" ht="16" thickBot="1" x14ac:dyDescent="0.4">
      <c r="A13" s="9" t="s">
        <v>39</v>
      </c>
      <c r="B13" s="70"/>
      <c r="C13" s="10">
        <v>6679590.5</v>
      </c>
      <c r="D13" s="10">
        <v>51925855.989999942</v>
      </c>
      <c r="E13" s="14">
        <v>0.26705732325068826</v>
      </c>
      <c r="F13" s="18">
        <v>6.1618244411839322E-2</v>
      </c>
      <c r="G13" s="10">
        <v>619164.58000000007</v>
      </c>
      <c r="H13" s="10">
        <v>619164.58000000007</v>
      </c>
      <c r="I13" s="10">
        <v>203133.55</v>
      </c>
      <c r="J13" s="10">
        <v>416031.03</v>
      </c>
      <c r="K13" s="10">
        <v>825062.5</v>
      </c>
      <c r="L13" s="10">
        <v>411584.64</v>
      </c>
      <c r="M13" s="16">
        <v>0.66474190109518205</v>
      </c>
      <c r="N13" s="14">
        <v>1.6455603416032489E-2</v>
      </c>
      <c r="O13" s="10">
        <v>202388.78</v>
      </c>
      <c r="P13" s="10">
        <v>209195.86</v>
      </c>
      <c r="Q13" s="10">
        <v>101731.05999999998</v>
      </c>
      <c r="R13" s="17">
        <v>33375.599999999977</v>
      </c>
      <c r="S13" s="17">
        <v>68355.460000000006</v>
      </c>
      <c r="T13" s="7"/>
    </row>
    <row r="14" spans="1:20" ht="16" thickBot="1" x14ac:dyDescent="0.4">
      <c r="A14" s="43" t="s">
        <v>1</v>
      </c>
      <c r="B14" s="23">
        <v>25011823</v>
      </c>
      <c r="C14" s="20">
        <v>10235635.76</v>
      </c>
      <c r="D14" s="20">
        <v>51925855.989999942</v>
      </c>
      <c r="E14" s="21">
        <v>0.40923189645153013</v>
      </c>
      <c r="F14" s="22">
        <v>6.0772496656328855E-2</v>
      </c>
      <c r="G14" s="20">
        <v>1304930.2200000002</v>
      </c>
      <c r="H14" s="20">
        <v>1304930.2200000002</v>
      </c>
      <c r="I14" s="20">
        <v>509942.54</v>
      </c>
      <c r="J14" s="20">
        <v>794987.68</v>
      </c>
      <c r="K14" s="20">
        <v>2142798.2199999997</v>
      </c>
      <c r="L14" s="20">
        <v>622045.14</v>
      </c>
      <c r="M14" s="21">
        <v>0.47668843166188601</v>
      </c>
      <c r="N14" s="21">
        <v>2.4870044058763731E-2</v>
      </c>
      <c r="O14" s="20">
        <v>306541.42</v>
      </c>
      <c r="P14" s="20">
        <v>315503.71999999997</v>
      </c>
      <c r="Q14" s="20">
        <v>215981.37999999995</v>
      </c>
      <c r="R14" s="20">
        <v>84490.769999999975</v>
      </c>
      <c r="S14" s="20">
        <v>131490.60999999999</v>
      </c>
      <c r="T14" s="7"/>
    </row>
    <row r="16" spans="1:20" ht="35.25" customHeight="1" x14ac:dyDescent="0.35">
      <c r="A16" s="52" t="s">
        <v>68</v>
      </c>
      <c r="B16" s="52"/>
      <c r="C16" s="52"/>
      <c r="D16" s="52"/>
      <c r="E16" s="52"/>
      <c r="F16" s="52"/>
      <c r="G16" s="52"/>
      <c r="H16" s="52"/>
      <c r="I16" s="52"/>
      <c r="J16" s="52"/>
      <c r="K16" s="52"/>
      <c r="L16" s="52"/>
      <c r="M16" s="52"/>
      <c r="N16" s="52"/>
      <c r="O16" s="52"/>
      <c r="P16" s="52"/>
      <c r="Q16" s="52"/>
      <c r="R16" s="52"/>
      <c r="S16" s="52"/>
    </row>
    <row r="17" spans="1:20" ht="23.25" customHeight="1" x14ac:dyDescent="0.35">
      <c r="A17" s="52" t="s">
        <v>40</v>
      </c>
      <c r="B17" s="52"/>
      <c r="C17" s="52"/>
      <c r="D17" s="52"/>
      <c r="E17" s="52"/>
      <c r="F17" s="52"/>
      <c r="G17" s="52"/>
      <c r="H17" s="52"/>
      <c r="I17" s="52"/>
      <c r="J17" s="52"/>
      <c r="K17" s="52"/>
      <c r="L17" s="52"/>
      <c r="M17" s="52"/>
      <c r="N17" s="52"/>
      <c r="O17" s="52"/>
      <c r="P17" s="52"/>
      <c r="Q17" s="52"/>
      <c r="R17" s="52"/>
      <c r="S17" s="52"/>
    </row>
    <row r="18" spans="1:20" ht="83.25" customHeight="1" x14ac:dyDescent="0.35">
      <c r="A18" s="53" t="s">
        <v>41</v>
      </c>
      <c r="B18" s="54"/>
      <c r="C18" s="54"/>
      <c r="D18" s="54"/>
      <c r="E18" s="54"/>
      <c r="F18" s="54"/>
      <c r="G18" s="54"/>
      <c r="H18" s="54"/>
      <c r="I18" s="54"/>
      <c r="J18" s="54"/>
      <c r="K18" s="54"/>
      <c r="L18" s="54"/>
      <c r="M18" s="54"/>
      <c r="N18" s="54"/>
      <c r="O18" s="54"/>
      <c r="P18" s="54"/>
      <c r="Q18" s="54"/>
      <c r="R18" s="54"/>
      <c r="S18" s="54"/>
    </row>
    <row r="19" spans="1:20" ht="16.5" customHeight="1" x14ac:dyDescent="0.35">
      <c r="A19" s="52" t="s">
        <v>70</v>
      </c>
      <c r="B19" s="52"/>
      <c r="C19" s="52"/>
      <c r="D19" s="52"/>
      <c r="E19" s="52"/>
      <c r="F19" s="52"/>
      <c r="G19" s="52"/>
      <c r="H19" s="26"/>
      <c r="I19" s="26"/>
      <c r="J19" s="26"/>
      <c r="K19" s="26"/>
      <c r="L19" s="26"/>
      <c r="M19" s="26"/>
      <c r="N19" s="26"/>
      <c r="O19" s="26"/>
      <c r="P19" s="26"/>
      <c r="Q19" s="26"/>
      <c r="R19" s="26"/>
      <c r="S19" s="26"/>
      <c r="T19"/>
    </row>
    <row r="20" spans="1:20" x14ac:dyDescent="0.35">
      <c r="A20" s="6" t="s">
        <v>44</v>
      </c>
      <c r="B20" s="5"/>
      <c r="C20" s="5"/>
      <c r="D20" s="5"/>
      <c r="E20" s="5"/>
      <c r="F20" s="5"/>
      <c r="G20" s="5"/>
      <c r="H20" s="5"/>
      <c r="I20" s="5"/>
      <c r="J20" s="5"/>
      <c r="K20" s="5"/>
      <c r="L20" s="5"/>
      <c r="M20" s="5"/>
      <c r="N20" s="5"/>
      <c r="O20" s="5"/>
      <c r="P20" s="5"/>
      <c r="Q20" s="5"/>
      <c r="R20" s="5"/>
      <c r="S20" s="5"/>
      <c r="T20"/>
    </row>
  </sheetData>
  <mergeCells count="14">
    <mergeCell ref="A19:G19"/>
    <mergeCell ref="A16:S16"/>
    <mergeCell ref="A17:S17"/>
    <mergeCell ref="A18:S18"/>
    <mergeCell ref="B12:B13"/>
    <mergeCell ref="A5:S5"/>
    <mergeCell ref="A8:A10"/>
    <mergeCell ref="B8:B10"/>
    <mergeCell ref="C8:F9"/>
    <mergeCell ref="L8:P9"/>
    <mergeCell ref="Q8:S9"/>
    <mergeCell ref="G9:G10"/>
    <mergeCell ref="H9:J9"/>
    <mergeCell ref="K9:K10"/>
  </mergeCells>
  <pageMargins left="0.7" right="0.7" top="0.75" bottom="0.75" header="0.3" footer="0.3"/>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E987-A149-4C82-991A-41CEE9E105A9}">
  <sheetPr>
    <pageSetUpPr fitToPage="1"/>
  </sheetPr>
  <dimension ref="A1:V50"/>
  <sheetViews>
    <sheetView tabSelected="1" view="pageBreakPreview" zoomScaleNormal="100" zoomScaleSheetLayoutView="100" workbookViewId="0">
      <selection activeCell="A6" sqref="A6"/>
    </sheetView>
  </sheetViews>
  <sheetFormatPr defaultRowHeight="15.5" outlineLevelCol="1" x14ac:dyDescent="0.35"/>
  <cols>
    <col min="1" max="1" width="20.83203125" customWidth="1"/>
    <col min="2" max="2" width="14.33203125" customWidth="1"/>
    <col min="3" max="3" width="13.5" customWidth="1"/>
    <col min="4" max="4" width="21.5" hidden="1" customWidth="1" outlineLevel="1"/>
    <col min="5" max="5" width="12.58203125" customWidth="1" collapsed="1"/>
    <col min="6" max="6" width="12.33203125" customWidth="1"/>
    <col min="7" max="7" width="18" customWidth="1"/>
    <col min="8" max="11" width="18" hidden="1" customWidth="1" outlineLevel="1"/>
    <col min="12" max="12" width="11" customWidth="1" collapsed="1"/>
    <col min="13" max="13" width="13.83203125" customWidth="1"/>
    <col min="14" max="14" width="11.25" customWidth="1"/>
    <col min="15" max="15" width="15.83203125" customWidth="1"/>
    <col min="16" max="16" width="15.25" customWidth="1"/>
    <col min="17" max="17" width="12.33203125" customWidth="1"/>
    <col min="18" max="18" width="17.08203125" customWidth="1"/>
    <col min="19" max="19" width="15.75" customWidth="1"/>
  </cols>
  <sheetData>
    <row r="1" spans="1:22" x14ac:dyDescent="0.35">
      <c r="S1" s="27" t="s">
        <v>76</v>
      </c>
    </row>
    <row r="3" spans="1:22" x14ac:dyDescent="0.35">
      <c r="A3" s="28" t="s">
        <v>77</v>
      </c>
      <c r="B3" s="29"/>
      <c r="F3" s="29"/>
      <c r="N3" s="3"/>
    </row>
    <row r="4" spans="1:22" x14ac:dyDescent="0.35">
      <c r="A4" s="28"/>
      <c r="B4" s="29"/>
      <c r="F4" s="29"/>
    </row>
    <row r="5" spans="1:22" ht="31.5" customHeight="1" x14ac:dyDescent="0.35">
      <c r="A5" s="55" t="s">
        <v>92</v>
      </c>
      <c r="B5" s="55"/>
      <c r="C5" s="55"/>
      <c r="D5" s="55"/>
      <c r="E5" s="55"/>
      <c r="F5" s="55"/>
      <c r="G5" s="55"/>
      <c r="H5" s="55"/>
      <c r="I5" s="55"/>
      <c r="J5" s="55"/>
      <c r="K5" s="55"/>
      <c r="L5" s="55"/>
      <c r="M5" s="55"/>
      <c r="N5" s="55"/>
      <c r="O5" s="55"/>
      <c r="P5" s="55"/>
      <c r="Q5" s="55"/>
      <c r="R5" s="55"/>
      <c r="S5" s="55"/>
    </row>
    <row r="6" spans="1:22" ht="16" thickBot="1" x14ac:dyDescent="0.4">
      <c r="A6" s="25"/>
      <c r="B6" s="25"/>
      <c r="C6" s="25"/>
      <c r="D6" s="25"/>
      <c r="E6" s="25"/>
      <c r="F6" s="25"/>
      <c r="G6" s="25"/>
      <c r="H6" s="25"/>
      <c r="I6" s="25"/>
      <c r="J6" s="25"/>
      <c r="K6" s="25"/>
      <c r="L6" s="25"/>
      <c r="M6" s="25"/>
      <c r="N6" s="25"/>
      <c r="O6" s="25"/>
      <c r="P6" s="25"/>
      <c r="Q6" s="25"/>
      <c r="R6" s="25"/>
      <c r="S6" s="25"/>
    </row>
    <row r="7" spans="1:22" ht="21" hidden="1" customHeight="1" thickBot="1" x14ac:dyDescent="0.4">
      <c r="B7" t="s">
        <v>50</v>
      </c>
      <c r="C7" t="s">
        <v>33</v>
      </c>
      <c r="D7" t="s">
        <v>37</v>
      </c>
      <c r="H7" t="s">
        <v>32</v>
      </c>
      <c r="I7" t="s">
        <v>34</v>
      </c>
      <c r="J7" t="s">
        <v>31</v>
      </c>
      <c r="K7" t="s">
        <v>36</v>
      </c>
      <c r="L7" t="s">
        <v>33</v>
      </c>
      <c r="O7" t="s">
        <v>45</v>
      </c>
      <c r="P7" t="s">
        <v>45</v>
      </c>
      <c r="Q7" t="s">
        <v>65</v>
      </c>
    </row>
    <row r="8" spans="1:22" ht="46.5" customHeight="1" thickBot="1" x14ac:dyDescent="0.4">
      <c r="A8" s="60" t="s">
        <v>0</v>
      </c>
      <c r="B8" s="60" t="s">
        <v>19</v>
      </c>
      <c r="C8" s="46" t="s">
        <v>86</v>
      </c>
      <c r="D8" s="47"/>
      <c r="E8" s="47"/>
      <c r="F8" s="48"/>
      <c r="G8" s="30"/>
      <c r="H8" s="30"/>
      <c r="I8" s="30"/>
      <c r="J8" s="30"/>
      <c r="K8" s="31"/>
      <c r="L8" s="46" t="s">
        <v>85</v>
      </c>
      <c r="M8" s="47"/>
      <c r="N8" s="47"/>
      <c r="O8" s="47"/>
      <c r="P8" s="48"/>
      <c r="Q8" s="46" t="s">
        <v>81</v>
      </c>
      <c r="R8" s="47"/>
      <c r="S8" s="48"/>
      <c r="T8" s="1"/>
    </row>
    <row r="9" spans="1:22" ht="27.75" customHeight="1" thickBot="1" x14ac:dyDescent="0.4">
      <c r="A9" s="61"/>
      <c r="B9" s="61"/>
      <c r="C9" s="49"/>
      <c r="D9" s="50"/>
      <c r="E9" s="50"/>
      <c r="F9" s="51"/>
      <c r="G9" s="58" t="s">
        <v>80</v>
      </c>
      <c r="H9" s="66" t="s">
        <v>16</v>
      </c>
      <c r="I9" s="67"/>
      <c r="J9" s="68"/>
      <c r="K9" s="60" t="s">
        <v>15</v>
      </c>
      <c r="L9" s="49"/>
      <c r="M9" s="50"/>
      <c r="N9" s="50"/>
      <c r="O9" s="50"/>
      <c r="P9" s="51"/>
      <c r="Q9" s="49"/>
      <c r="R9" s="50"/>
      <c r="S9" s="51"/>
      <c r="T9" s="1"/>
    </row>
    <row r="10" spans="1:22" ht="99" customHeight="1" thickBot="1" x14ac:dyDescent="0.4">
      <c r="A10" s="62"/>
      <c r="B10" s="63"/>
      <c r="C10" s="32" t="s">
        <v>20</v>
      </c>
      <c r="D10" s="32" t="s">
        <v>49</v>
      </c>
      <c r="E10" s="33" t="s">
        <v>11</v>
      </c>
      <c r="F10" s="34" t="s">
        <v>25</v>
      </c>
      <c r="G10" s="59"/>
      <c r="H10" s="34" t="s">
        <v>13</v>
      </c>
      <c r="I10" s="35" t="s">
        <v>12</v>
      </c>
      <c r="J10" s="34" t="s">
        <v>14</v>
      </c>
      <c r="K10" s="63"/>
      <c r="L10" s="36" t="s">
        <v>13</v>
      </c>
      <c r="M10" s="37" t="s">
        <v>21</v>
      </c>
      <c r="N10" s="33" t="s">
        <v>11</v>
      </c>
      <c r="O10" s="32" t="s">
        <v>22</v>
      </c>
      <c r="P10" s="32" t="s">
        <v>23</v>
      </c>
      <c r="Q10" s="38" t="s">
        <v>1</v>
      </c>
      <c r="R10" s="39" t="s">
        <v>2</v>
      </c>
      <c r="S10" s="39" t="s">
        <v>3</v>
      </c>
      <c r="T10" s="1"/>
    </row>
    <row r="11" spans="1:22" ht="31.5" thickBot="1" x14ac:dyDescent="0.4">
      <c r="A11" s="40">
        <v>1</v>
      </c>
      <c r="B11" s="41">
        <v>2</v>
      </c>
      <c r="C11" s="38">
        <v>3</v>
      </c>
      <c r="D11" s="38">
        <v>4</v>
      </c>
      <c r="E11" s="38" t="s">
        <v>24</v>
      </c>
      <c r="F11" s="41" t="s">
        <v>30</v>
      </c>
      <c r="G11" s="42" t="s">
        <v>26</v>
      </c>
      <c r="H11" s="38" t="s">
        <v>35</v>
      </c>
      <c r="I11" s="38">
        <v>9</v>
      </c>
      <c r="J11" s="38">
        <v>10</v>
      </c>
      <c r="K11" s="38">
        <v>11</v>
      </c>
      <c r="L11" s="38" t="s">
        <v>27</v>
      </c>
      <c r="M11" s="38" t="s">
        <v>29</v>
      </c>
      <c r="N11" s="38" t="s">
        <v>28</v>
      </c>
      <c r="O11" s="38">
        <v>15</v>
      </c>
      <c r="P11" s="38">
        <v>16</v>
      </c>
      <c r="Q11" s="38">
        <v>17</v>
      </c>
      <c r="R11" s="35">
        <v>18</v>
      </c>
      <c r="S11" s="35">
        <v>19</v>
      </c>
      <c r="T11" s="1"/>
    </row>
    <row r="12" spans="1:22" ht="19" thickBot="1" x14ac:dyDescent="0.4">
      <c r="A12" s="9" t="s">
        <v>4</v>
      </c>
      <c r="B12" s="19" t="s">
        <v>78</v>
      </c>
      <c r="C12" s="12" t="s">
        <v>18</v>
      </c>
      <c r="D12" s="12" t="s">
        <v>18</v>
      </c>
      <c r="E12" s="12" t="s">
        <v>18</v>
      </c>
      <c r="F12" s="10" t="s">
        <v>18</v>
      </c>
      <c r="G12" s="10">
        <f>IF(H12&gt;K12,K12,H12)</f>
        <v>2266911.81</v>
      </c>
      <c r="H12" s="10">
        <f>I12+J12</f>
        <v>2266911.81</v>
      </c>
      <c r="I12" s="10">
        <v>1760173.79</v>
      </c>
      <c r="J12" s="10">
        <v>506738.02</v>
      </c>
      <c r="K12" s="10">
        <v>3164000</v>
      </c>
      <c r="L12" s="10">
        <f>O12+P12</f>
        <v>2266911.81</v>
      </c>
      <c r="M12" s="16">
        <f>L12/G12</f>
        <v>1</v>
      </c>
      <c r="N12" s="14">
        <f>L12/B12</f>
        <v>1.4433478736476742E-3</v>
      </c>
      <c r="O12" s="10">
        <v>2125547.75</v>
      </c>
      <c r="P12" s="10">
        <v>141364.06</v>
      </c>
      <c r="Q12" s="10">
        <f>SUM(R12,S12)</f>
        <v>262389.60000000003</v>
      </c>
      <c r="R12" s="17">
        <f>O12-FOF!O12</f>
        <v>204013.54000000004</v>
      </c>
      <c r="S12" s="17">
        <f>P12-FOF!P12</f>
        <v>58376.06</v>
      </c>
      <c r="T12" s="1"/>
    </row>
    <row r="13" spans="1:22" ht="16" thickBot="1" x14ac:dyDescent="0.4">
      <c r="A13" s="9" t="s">
        <v>5</v>
      </c>
      <c r="B13" s="64">
        <v>15000000</v>
      </c>
      <c r="C13" s="10">
        <v>6708034.5800000001</v>
      </c>
      <c r="D13" s="13">
        <f>C13+8221222.58</f>
        <v>14929257.16</v>
      </c>
      <c r="E13" s="56">
        <f>(C13+C14)/B13</f>
        <v>0.53005413533333334</v>
      </c>
      <c r="F13" s="15">
        <f>L13/C13</f>
        <v>0.14728364444418235</v>
      </c>
      <c r="G13" s="10">
        <f t="shared" ref="G13:G14" si="0">IF(H13&gt;K13,K13,H13)</f>
        <v>987983.78</v>
      </c>
      <c r="H13" s="10">
        <f>I13+J13</f>
        <v>987983.78</v>
      </c>
      <c r="I13" s="10">
        <v>387249.68</v>
      </c>
      <c r="J13" s="10">
        <v>600734.1</v>
      </c>
      <c r="K13" s="10">
        <v>1358568.12</v>
      </c>
      <c r="L13" s="10">
        <f t="shared" ref="L13:L14" si="1">O13+P13</f>
        <v>987983.78</v>
      </c>
      <c r="M13" s="16">
        <f>L13/G13</f>
        <v>1</v>
      </c>
      <c r="N13" s="56">
        <f>(L13+L14)/B13</f>
        <v>7.6149801333333336E-2</v>
      </c>
      <c r="O13" s="10">
        <v>422208.99</v>
      </c>
      <c r="P13" s="10">
        <v>565774.79</v>
      </c>
      <c r="Q13" s="10">
        <f t="shared" ref="Q13:Q17" si="2">SUM(R13,S13)</f>
        <v>77315.160000000033</v>
      </c>
      <c r="R13" s="17">
        <f>O13-FOF!O13</f>
        <v>30094.409999999974</v>
      </c>
      <c r="S13" s="17">
        <f>P13-FOF!P13</f>
        <v>47220.750000000058</v>
      </c>
      <c r="T13" s="2"/>
      <c r="U13" s="3"/>
      <c r="V13" s="3"/>
    </row>
    <row r="14" spans="1:22" ht="16" thickBot="1" x14ac:dyDescent="0.4">
      <c r="A14" s="9" t="s">
        <v>6</v>
      </c>
      <c r="B14" s="65"/>
      <c r="C14" s="10">
        <v>1242777.45</v>
      </c>
      <c r="D14" s="10">
        <f>C14+1234105.49</f>
        <v>2476882.94</v>
      </c>
      <c r="E14" s="57"/>
      <c r="F14" s="15">
        <f>L14/C14</f>
        <v>0.12412780743648028</v>
      </c>
      <c r="G14" s="10">
        <f t="shared" si="0"/>
        <v>154263.24</v>
      </c>
      <c r="H14" s="10">
        <f t="shared" ref="H14:H17" si="3">I14+J14</f>
        <v>163380.91</v>
      </c>
      <c r="I14" s="10">
        <v>51622.01</v>
      </c>
      <c r="J14" s="10">
        <v>111758.9</v>
      </c>
      <c r="K14" s="10">
        <v>154263.24</v>
      </c>
      <c r="L14" s="10">
        <f t="shared" si="1"/>
        <v>154263.24</v>
      </c>
      <c r="M14" s="16">
        <f t="shared" ref="M14:M19" si="4">L14/G14</f>
        <v>1</v>
      </c>
      <c r="N14" s="57"/>
      <c r="O14" s="10">
        <v>70426.679999999993</v>
      </c>
      <c r="P14" s="10">
        <v>83836.56</v>
      </c>
      <c r="Q14" s="10">
        <f t="shared" si="2"/>
        <v>5845.0299999999843</v>
      </c>
      <c r="R14" s="17">
        <f>O14-FOF!O14</f>
        <v>1793.7399999999907</v>
      </c>
      <c r="S14" s="17">
        <f>P14-FOF!P14</f>
        <v>4051.2899999999936</v>
      </c>
      <c r="T14" s="2"/>
      <c r="U14" s="3"/>
      <c r="V14" s="3"/>
    </row>
    <row r="15" spans="1:22" ht="16" thickBot="1" x14ac:dyDescent="0.4">
      <c r="A15" s="9" t="s">
        <v>7</v>
      </c>
      <c r="B15" s="8">
        <v>43800000</v>
      </c>
      <c r="C15" s="10">
        <v>39273707.469999999</v>
      </c>
      <c r="D15" s="10">
        <v>299090036.39999998</v>
      </c>
      <c r="E15" s="14">
        <f>C15/B15</f>
        <v>0.89665998789954338</v>
      </c>
      <c r="F15" s="15">
        <f t="shared" ref="F15:F19" si="5">L15/C15</f>
        <v>6.168047826527237E-2</v>
      </c>
      <c r="G15" s="64">
        <f>IF(H15&gt;K15,K15,H15)</f>
        <v>2519437.31</v>
      </c>
      <c r="H15" s="64">
        <f>I15+J15</f>
        <v>2519437.31</v>
      </c>
      <c r="I15" s="64">
        <v>901516.46</v>
      </c>
      <c r="J15" s="64">
        <v>1617920.85</v>
      </c>
      <c r="K15" s="64">
        <v>4580000</v>
      </c>
      <c r="L15" s="10">
        <f>O15+P15</f>
        <v>2422421.06</v>
      </c>
      <c r="M15" s="71">
        <f>(L15+L16)/G15</f>
        <v>0.96914221691826896</v>
      </c>
      <c r="N15" s="14">
        <f>L15/B15</f>
        <v>5.5306416894977173E-2</v>
      </c>
      <c r="O15" s="10">
        <v>1012324.62</v>
      </c>
      <c r="P15" s="10">
        <v>1410096.44</v>
      </c>
      <c r="Q15" s="10">
        <f t="shared" si="2"/>
        <v>234028.46999999986</v>
      </c>
      <c r="R15" s="17">
        <f>O15-FOF!O15</f>
        <v>83980.579999999958</v>
      </c>
      <c r="S15" s="17">
        <f>P15-FOF!P15</f>
        <v>150047.8899999999</v>
      </c>
      <c r="T15" s="2"/>
      <c r="U15" s="3"/>
      <c r="V15" s="3"/>
    </row>
    <row r="16" spans="1:22" ht="31.5" thickBot="1" x14ac:dyDescent="0.4">
      <c r="A16" s="45" t="s">
        <v>74</v>
      </c>
      <c r="B16" s="8">
        <v>7459282</v>
      </c>
      <c r="C16" s="10">
        <v>1378879.68</v>
      </c>
      <c r="D16" s="10">
        <v>9618152</v>
      </c>
      <c r="E16" s="14">
        <f>C16/B16</f>
        <v>0.1848542098287744</v>
      </c>
      <c r="F16" s="15">
        <f>IFERROR(L16/C16,0)</f>
        <v>1.3976563930509152E-2</v>
      </c>
      <c r="G16" s="65"/>
      <c r="H16" s="65"/>
      <c r="I16" s="65"/>
      <c r="J16" s="65"/>
      <c r="K16" s="65"/>
      <c r="L16" s="10">
        <f>O16+P16</f>
        <v>19272</v>
      </c>
      <c r="M16" s="72"/>
      <c r="N16" s="14">
        <f>L16/B16</f>
        <v>2.5836266814956185E-3</v>
      </c>
      <c r="O16" s="12">
        <v>6896</v>
      </c>
      <c r="P16" s="10">
        <v>12376</v>
      </c>
      <c r="Q16" s="10">
        <f>SUM(R16,S16)</f>
        <v>19271.989999999998</v>
      </c>
      <c r="R16" s="17">
        <v>6895.99</v>
      </c>
      <c r="S16" s="17">
        <v>12376</v>
      </c>
      <c r="T16" s="1"/>
    </row>
    <row r="17" spans="1:22" ht="16" thickBot="1" x14ac:dyDescent="0.4">
      <c r="A17" s="9" t="s">
        <v>8</v>
      </c>
      <c r="B17" s="8">
        <v>7000000</v>
      </c>
      <c r="C17" s="10">
        <v>5137495</v>
      </c>
      <c r="D17" s="10">
        <f>C17+5177655.38</f>
        <v>10315150.379999999</v>
      </c>
      <c r="E17" s="14">
        <f>C17/B17</f>
        <v>0.73392785714285713</v>
      </c>
      <c r="F17" s="15">
        <f t="shared" si="5"/>
        <v>0.13072638318869412</v>
      </c>
      <c r="G17" s="10">
        <f>IF(H17&gt;K17,K17,H17)</f>
        <v>671606.14</v>
      </c>
      <c r="H17" s="10">
        <f t="shared" si="3"/>
        <v>671606.14</v>
      </c>
      <c r="I17" s="10">
        <v>291949.27</v>
      </c>
      <c r="J17" s="10">
        <v>379656.87</v>
      </c>
      <c r="K17" s="10">
        <v>998067.11</v>
      </c>
      <c r="L17" s="10">
        <f t="shared" ref="L17:L21" si="6">O17+P17</f>
        <v>671606.14</v>
      </c>
      <c r="M17" s="16">
        <f t="shared" si="4"/>
        <v>1</v>
      </c>
      <c r="N17" s="14">
        <f t="shared" ref="N17:N21" si="7">L17/B17</f>
        <v>9.5943734285714288E-2</v>
      </c>
      <c r="O17" s="10">
        <v>411619.66</v>
      </c>
      <c r="P17" s="10">
        <v>259986.48</v>
      </c>
      <c r="Q17" s="10">
        <f t="shared" si="2"/>
        <v>32560.01999999996</v>
      </c>
      <c r="R17" s="17">
        <f>O17-FOF!O16</f>
        <v>14138.709999999963</v>
      </c>
      <c r="S17" s="17">
        <f>P17-FOF!P16</f>
        <v>18421.309999999998</v>
      </c>
      <c r="T17" s="2"/>
      <c r="U17" s="3"/>
      <c r="V17" s="3"/>
    </row>
    <row r="18" spans="1:22" ht="16" thickBot="1" x14ac:dyDescent="0.4">
      <c r="A18" s="9" t="s">
        <v>9</v>
      </c>
      <c r="B18" s="8">
        <v>16000000</v>
      </c>
      <c r="C18" s="10">
        <v>6088797.8899999997</v>
      </c>
      <c r="D18" s="11">
        <f>C18+3799716.66</f>
        <v>9888514.5500000007</v>
      </c>
      <c r="E18" s="14">
        <f t="shared" ref="E18:E21" si="8">C18/B18</f>
        <v>0.38054986812499997</v>
      </c>
      <c r="F18" s="15">
        <f>L18/C18</f>
        <v>0.67599341025261073</v>
      </c>
      <c r="G18" s="10">
        <f>L18</f>
        <v>4115987.25</v>
      </c>
      <c r="H18" s="12" t="s">
        <v>18</v>
      </c>
      <c r="I18" s="12" t="s">
        <v>18</v>
      </c>
      <c r="J18" s="12" t="s">
        <v>18</v>
      </c>
      <c r="K18" s="12" t="s">
        <v>18</v>
      </c>
      <c r="L18" s="10">
        <f t="shared" si="6"/>
        <v>4115987.25</v>
      </c>
      <c r="M18" s="16">
        <f t="shared" si="4"/>
        <v>1</v>
      </c>
      <c r="N18" s="14">
        <f>L18/B18</f>
        <v>0.25724920312499999</v>
      </c>
      <c r="O18" s="12">
        <v>0</v>
      </c>
      <c r="P18" s="10">
        <v>4115987.25</v>
      </c>
      <c r="Q18" s="10">
        <f t="shared" ref="Q18:Q19" si="9">R18+S18</f>
        <v>473424.39999999991</v>
      </c>
      <c r="R18" s="17">
        <f>O18-FOF!O17</f>
        <v>0</v>
      </c>
      <c r="S18" s="17">
        <f>P18-FOF!P17</f>
        <v>473424.39999999991</v>
      </c>
      <c r="T18" s="1"/>
    </row>
    <row r="19" spans="1:22" ht="16" thickBot="1" x14ac:dyDescent="0.4">
      <c r="A19" s="9" t="s">
        <v>10</v>
      </c>
      <c r="B19" s="8">
        <v>29200000</v>
      </c>
      <c r="C19" s="10">
        <v>15612725.199999999</v>
      </c>
      <c r="D19" s="10">
        <f>C19+9991939.45</f>
        <v>25604664.649999999</v>
      </c>
      <c r="E19" s="14">
        <f t="shared" si="8"/>
        <v>0.53468236986301365</v>
      </c>
      <c r="F19" s="15">
        <f t="shared" si="5"/>
        <v>0.29018542323411928</v>
      </c>
      <c r="G19" s="10">
        <f>L19</f>
        <v>4530585.2699999996</v>
      </c>
      <c r="H19" s="12" t="s">
        <v>18</v>
      </c>
      <c r="I19" s="12" t="s">
        <v>18</v>
      </c>
      <c r="J19" s="12" t="s">
        <v>18</v>
      </c>
      <c r="K19" s="12" t="s">
        <v>18</v>
      </c>
      <c r="L19" s="10">
        <f>O19+P19</f>
        <v>4530585.2699999996</v>
      </c>
      <c r="M19" s="16">
        <f t="shared" si="4"/>
        <v>1</v>
      </c>
      <c r="N19" s="14">
        <f t="shared" si="7"/>
        <v>0.15515702979452053</v>
      </c>
      <c r="O19" s="12">
        <v>0</v>
      </c>
      <c r="P19" s="10">
        <v>4530585.2699999996</v>
      </c>
      <c r="Q19" s="10">
        <f t="shared" si="9"/>
        <v>1234930.4499999997</v>
      </c>
      <c r="R19" s="17">
        <f>O19-FOF!O18</f>
        <v>0</v>
      </c>
      <c r="S19" s="17">
        <f>P19-FOF!P18</f>
        <v>1234930.4499999997</v>
      </c>
      <c r="T19" s="1"/>
    </row>
    <row r="20" spans="1:22" ht="16" thickBot="1" x14ac:dyDescent="0.4">
      <c r="A20" s="45" t="s">
        <v>91</v>
      </c>
      <c r="B20" s="8">
        <v>13600000</v>
      </c>
      <c r="C20" s="10">
        <v>1814314.47</v>
      </c>
      <c r="D20" s="10">
        <f>C20</f>
        <v>1814314.47</v>
      </c>
      <c r="E20" s="14">
        <f t="shared" si="8"/>
        <v>0.13340547573529413</v>
      </c>
      <c r="F20" s="15">
        <f>IFERROR(L20/C20,0)</f>
        <v>0</v>
      </c>
      <c r="G20" s="10">
        <v>0</v>
      </c>
      <c r="H20" s="12" t="s">
        <v>18</v>
      </c>
      <c r="I20" s="12" t="s">
        <v>18</v>
      </c>
      <c r="J20" s="12" t="s">
        <v>18</v>
      </c>
      <c r="K20" s="12" t="s">
        <v>18</v>
      </c>
      <c r="L20" s="10">
        <v>0</v>
      </c>
      <c r="M20" s="16">
        <f>IFERROR(L20/G20,0)</f>
        <v>0</v>
      </c>
      <c r="N20" s="14">
        <f t="shared" ref="N20" si="10">L20/B20</f>
        <v>0</v>
      </c>
      <c r="O20" s="12">
        <v>0</v>
      </c>
      <c r="P20" s="10">
        <v>0</v>
      </c>
      <c r="Q20" s="10">
        <f>L20</f>
        <v>0</v>
      </c>
      <c r="R20" s="17">
        <f>O20</f>
        <v>0</v>
      </c>
      <c r="S20" s="17">
        <f>P20</f>
        <v>0</v>
      </c>
      <c r="T20" s="1"/>
    </row>
    <row r="21" spans="1:22" ht="16" thickBot="1" x14ac:dyDescent="0.4">
      <c r="A21" s="9" t="s">
        <v>75</v>
      </c>
      <c r="B21" s="8">
        <v>25000000</v>
      </c>
      <c r="C21" s="10">
        <v>14910996.83</v>
      </c>
      <c r="D21" s="10">
        <f>C21</f>
        <v>14910996.83</v>
      </c>
      <c r="E21" s="14">
        <f t="shared" si="8"/>
        <v>0.59643987320000003</v>
      </c>
      <c r="F21" s="15">
        <f>IFERROR(L21/C21,0)</f>
        <v>0</v>
      </c>
      <c r="G21" s="10">
        <v>0</v>
      </c>
      <c r="H21" s="12" t="s">
        <v>18</v>
      </c>
      <c r="I21" s="12" t="s">
        <v>18</v>
      </c>
      <c r="J21" s="12" t="s">
        <v>18</v>
      </c>
      <c r="K21" s="12" t="s">
        <v>18</v>
      </c>
      <c r="L21" s="10">
        <f t="shared" si="6"/>
        <v>0</v>
      </c>
      <c r="M21" s="16">
        <f>IFERROR(L21/G21,0)</f>
        <v>0</v>
      </c>
      <c r="N21" s="14">
        <f t="shared" si="7"/>
        <v>0</v>
      </c>
      <c r="O21" s="12">
        <v>0</v>
      </c>
      <c r="P21" s="10">
        <v>0</v>
      </c>
      <c r="Q21" s="10">
        <v>0</v>
      </c>
      <c r="R21" s="17">
        <f>O21-FOF!O20</f>
        <v>0</v>
      </c>
      <c r="S21" s="17">
        <f>P21-FOF!P20</f>
        <v>0</v>
      </c>
      <c r="T21" s="1"/>
    </row>
    <row r="22" spans="1:22" ht="16" thickBot="1" x14ac:dyDescent="0.4">
      <c r="A22" s="43" t="s">
        <v>1</v>
      </c>
      <c r="B22" s="23">
        <f>SUM(B13:B21)</f>
        <v>157059282</v>
      </c>
      <c r="C22" s="20">
        <f>SUM(C13:C21)</f>
        <v>92167728.569999993</v>
      </c>
      <c r="D22" s="20">
        <f>SUM(D13:D21)</f>
        <v>388647969.38</v>
      </c>
      <c r="E22" s="21">
        <f>C22/B22</f>
        <v>0.58683401194970441</v>
      </c>
      <c r="F22" s="22">
        <f>L22/C22</f>
        <v>0.16458071371998012</v>
      </c>
      <c r="G22" s="20">
        <f>SUM(G12:G21)</f>
        <v>15246774.800000001</v>
      </c>
      <c r="H22" s="20">
        <f>SUM(H12:H19)</f>
        <v>6609319.9500000002</v>
      </c>
      <c r="I22" s="20">
        <f>SUM(I12:I19)</f>
        <v>3392511.21</v>
      </c>
      <c r="J22" s="20">
        <f>SUM(J12:J19)</f>
        <v>3216808.74</v>
      </c>
      <c r="K22" s="20">
        <f>SUM(K12:K19)</f>
        <v>10254898.469999999</v>
      </c>
      <c r="L22" s="20">
        <f>SUM(L12:L21)</f>
        <v>15169030.550000001</v>
      </c>
      <c r="M22" s="21">
        <f>L22/G22</f>
        <v>0.99490093800034352</v>
      </c>
      <c r="N22" s="21">
        <f>L22/B22</f>
        <v>9.6581560521841692E-2</v>
      </c>
      <c r="O22" s="20">
        <f>SUM(O12:O21)</f>
        <v>4049023.7000000007</v>
      </c>
      <c r="P22" s="20">
        <f>SUM(P12:P21)</f>
        <v>11120006.85</v>
      </c>
      <c r="Q22" s="20">
        <f>SUM(Q12:Q21)</f>
        <v>2339765.1199999992</v>
      </c>
      <c r="R22" s="20">
        <f>SUM(R12:R21)</f>
        <v>340916.96999999991</v>
      </c>
      <c r="S22" s="20">
        <f>SUM(S12:S21)</f>
        <v>1998848.1499999994</v>
      </c>
      <c r="T22" s="1"/>
    </row>
    <row r="23" spans="1:22" x14ac:dyDescent="0.35">
      <c r="O23" s="44"/>
    </row>
    <row r="24" spans="1:22" ht="140.25" customHeight="1" x14ac:dyDescent="0.35">
      <c r="A24" s="52" t="s">
        <v>87</v>
      </c>
      <c r="B24" s="52"/>
      <c r="C24" s="52"/>
      <c r="D24" s="52"/>
      <c r="E24" s="52"/>
      <c r="F24" s="52"/>
      <c r="G24" s="52"/>
      <c r="H24" s="52"/>
      <c r="I24" s="52"/>
      <c r="J24" s="52"/>
      <c r="K24" s="52"/>
      <c r="L24" s="52"/>
      <c r="M24" s="52"/>
      <c r="N24" s="52"/>
      <c r="O24" s="52"/>
      <c r="P24" s="52"/>
      <c r="Q24" s="52"/>
      <c r="R24" s="52"/>
      <c r="S24" s="52"/>
    </row>
    <row r="25" spans="1:22" ht="19.5" customHeight="1" x14ac:dyDescent="0.35">
      <c r="A25" s="52" t="s">
        <v>79</v>
      </c>
      <c r="B25" s="52"/>
      <c r="C25" s="52"/>
      <c r="D25" s="52"/>
      <c r="E25" s="52"/>
      <c r="F25" s="52"/>
      <c r="G25" s="52"/>
      <c r="H25" s="52"/>
      <c r="I25" s="52"/>
      <c r="J25" s="52"/>
      <c r="K25" s="52"/>
      <c r="L25" s="52"/>
      <c r="M25" s="52"/>
      <c r="N25" s="52"/>
      <c r="O25" s="52"/>
      <c r="P25" s="52"/>
      <c r="Q25" s="52"/>
      <c r="R25" s="52"/>
      <c r="S25" s="52"/>
    </row>
    <row r="26" spans="1:22" ht="36" customHeight="1" x14ac:dyDescent="0.35">
      <c r="A26" s="52" t="s">
        <v>53</v>
      </c>
      <c r="B26" s="52"/>
      <c r="C26" s="52"/>
      <c r="D26" s="52"/>
      <c r="E26" s="52"/>
      <c r="F26" s="52"/>
      <c r="G26" s="52"/>
      <c r="H26" s="52"/>
      <c r="I26" s="52"/>
      <c r="J26" s="52"/>
      <c r="K26" s="52"/>
      <c r="L26" s="52"/>
      <c r="M26" s="52"/>
      <c r="N26" s="52"/>
      <c r="O26" s="52"/>
      <c r="P26" s="52"/>
      <c r="Q26" s="52"/>
      <c r="R26" s="52"/>
      <c r="S26" s="52"/>
    </row>
    <row r="27" spans="1:22" ht="83.25" customHeight="1" x14ac:dyDescent="0.35">
      <c r="A27" s="53" t="s">
        <v>54</v>
      </c>
      <c r="B27" s="54"/>
      <c r="C27" s="54"/>
      <c r="D27" s="54"/>
      <c r="E27" s="54"/>
      <c r="F27" s="54"/>
      <c r="G27" s="54"/>
      <c r="H27" s="54"/>
      <c r="I27" s="54"/>
      <c r="J27" s="54"/>
      <c r="K27" s="54"/>
      <c r="L27" s="54"/>
      <c r="M27" s="54"/>
      <c r="N27" s="54"/>
      <c r="O27" s="54"/>
      <c r="P27" s="54"/>
      <c r="Q27" s="54"/>
      <c r="R27" s="54"/>
      <c r="S27" s="54"/>
    </row>
    <row r="28" spans="1:22" ht="16.5" customHeight="1" x14ac:dyDescent="0.35">
      <c r="A28" s="52" t="s">
        <v>88</v>
      </c>
      <c r="B28" s="52"/>
      <c r="C28" s="52"/>
      <c r="D28" s="52"/>
      <c r="E28" s="52"/>
      <c r="F28" s="52"/>
      <c r="G28" s="52"/>
      <c r="H28" s="26"/>
      <c r="I28" s="26"/>
      <c r="J28" s="26"/>
      <c r="K28" s="26"/>
      <c r="L28" s="26"/>
      <c r="M28" s="26"/>
      <c r="N28" s="26"/>
      <c r="O28" s="26"/>
      <c r="P28" s="26"/>
      <c r="Q28" s="26"/>
      <c r="R28" s="26"/>
      <c r="S28" s="26"/>
    </row>
    <row r="29" spans="1:22" x14ac:dyDescent="0.35">
      <c r="A29" s="6" t="s">
        <v>44</v>
      </c>
      <c r="B29" s="5"/>
      <c r="C29" s="5"/>
      <c r="D29" s="5"/>
      <c r="E29" s="5"/>
      <c r="F29" s="5"/>
      <c r="G29" s="5"/>
      <c r="H29" s="5"/>
      <c r="I29" s="5"/>
      <c r="J29" s="5"/>
      <c r="K29" s="5"/>
      <c r="L29" s="5"/>
      <c r="M29" s="5"/>
      <c r="N29" s="5"/>
      <c r="O29" s="5"/>
      <c r="P29" s="5"/>
      <c r="Q29" s="5"/>
      <c r="R29" s="5"/>
      <c r="S29" s="5"/>
    </row>
    <row r="50" spans="16:16" x14ac:dyDescent="0.35">
      <c r="P50" s="4"/>
    </row>
  </sheetData>
  <mergeCells count="23">
    <mergeCell ref="A27:S27"/>
    <mergeCell ref="A28:G28"/>
    <mergeCell ref="B13:B14"/>
    <mergeCell ref="E13:E14"/>
    <mergeCell ref="N13:N14"/>
    <mergeCell ref="A24:S24"/>
    <mergeCell ref="A25:S25"/>
    <mergeCell ref="A26:S26"/>
    <mergeCell ref="G15:G16"/>
    <mergeCell ref="H15:H16"/>
    <mergeCell ref="I15:I16"/>
    <mergeCell ref="J15:J16"/>
    <mergeCell ref="K15:K16"/>
    <mergeCell ref="M15:M16"/>
    <mergeCell ref="A5:S5"/>
    <mergeCell ref="A8:A10"/>
    <mergeCell ref="B8:B10"/>
    <mergeCell ref="C8:F9"/>
    <mergeCell ref="L8:P9"/>
    <mergeCell ref="Q8:S9"/>
    <mergeCell ref="G9:G10"/>
    <mergeCell ref="H9:J9"/>
    <mergeCell ref="K9:K10"/>
  </mergeCells>
  <pageMargins left="0.7" right="0.7" top="0.75" bottom="0.75" header="0.3" footer="0.3"/>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8F8D-4F51-4A13-903C-D4CEAC104C81}">
  <sheetPr>
    <pageSetUpPr fitToPage="1"/>
  </sheetPr>
  <dimension ref="A1:T20"/>
  <sheetViews>
    <sheetView view="pageBreakPreview" zoomScaleNormal="100" zoomScaleSheetLayoutView="100" workbookViewId="0">
      <pane xSplit="1" ySplit="11" topLeftCell="B12" activePane="bottomRight" state="frozen"/>
      <selection pane="topRight" activeCell="B1" sqref="B1"/>
      <selection pane="bottomLeft" activeCell="A12" sqref="A12"/>
      <selection pane="bottomRight" activeCell="C13" sqref="C13"/>
    </sheetView>
  </sheetViews>
  <sheetFormatPr defaultRowHeight="15.5" outlineLevelCol="1" x14ac:dyDescent="0.35"/>
  <cols>
    <col min="1" max="1" width="20.83203125" customWidth="1"/>
    <col min="2" max="2" width="14.33203125" customWidth="1"/>
    <col min="3" max="3" width="13.5" customWidth="1"/>
    <col min="4" max="4" width="21.5" hidden="1" customWidth="1" outlineLevel="1"/>
    <col min="5" max="5" width="12.58203125" customWidth="1" collapsed="1"/>
    <col min="6" max="6" width="12.33203125" customWidth="1"/>
    <col min="7" max="7" width="18" customWidth="1"/>
    <col min="8" max="11" width="18" hidden="1" customWidth="1" outlineLevel="1"/>
    <col min="12" max="12" width="11" customWidth="1" collapsed="1"/>
    <col min="13" max="13" width="13.83203125" customWidth="1"/>
    <col min="14" max="14" width="11.25" customWidth="1"/>
    <col min="15" max="15" width="15.83203125" customWidth="1"/>
    <col min="16" max="16" width="15.25" customWidth="1"/>
    <col min="17" max="17" width="9.83203125" bestFit="1" customWidth="1"/>
    <col min="18" max="18" width="17.08203125" customWidth="1"/>
    <col min="19" max="19" width="15.25" customWidth="1"/>
    <col min="20" max="20" width="6.33203125" style="5" hidden="1" customWidth="1"/>
  </cols>
  <sheetData>
    <row r="1" spans="1:20" x14ac:dyDescent="0.35">
      <c r="S1" s="27" t="s">
        <v>76</v>
      </c>
    </row>
    <row r="3" spans="1:20" x14ac:dyDescent="0.35">
      <c r="A3" s="28" t="s">
        <v>82</v>
      </c>
      <c r="B3" s="29"/>
      <c r="F3" s="29"/>
    </row>
    <row r="4" spans="1:20" x14ac:dyDescent="0.35">
      <c r="A4" s="28"/>
      <c r="B4" s="29"/>
      <c r="F4" s="29"/>
    </row>
    <row r="5" spans="1:20" ht="31.5" customHeight="1" x14ac:dyDescent="0.35">
      <c r="A5" s="55" t="s">
        <v>90</v>
      </c>
      <c r="B5" s="55"/>
      <c r="C5" s="55"/>
      <c r="D5" s="55"/>
      <c r="E5" s="55"/>
      <c r="F5" s="55"/>
      <c r="G5" s="55"/>
      <c r="H5" s="55"/>
      <c r="I5" s="55"/>
      <c r="J5" s="55"/>
      <c r="K5" s="55"/>
      <c r="L5" s="55"/>
      <c r="M5" s="55"/>
      <c r="N5" s="55"/>
      <c r="O5" s="55"/>
      <c r="P5" s="55"/>
      <c r="Q5" s="55"/>
      <c r="R5" s="55"/>
      <c r="S5" s="55"/>
    </row>
    <row r="6" spans="1:20" ht="16" thickBot="1" x14ac:dyDescent="0.4">
      <c r="A6" s="25"/>
      <c r="B6" s="25"/>
      <c r="C6" s="25"/>
      <c r="D6" s="25"/>
      <c r="E6" s="25"/>
      <c r="F6" s="25"/>
      <c r="G6" s="25"/>
      <c r="H6" s="25"/>
      <c r="I6" s="25"/>
      <c r="J6" s="25"/>
      <c r="K6" s="25"/>
      <c r="L6" s="25"/>
      <c r="M6" s="25"/>
      <c r="N6" s="25"/>
      <c r="O6" s="25"/>
      <c r="P6" s="25"/>
      <c r="Q6" s="25"/>
      <c r="R6" s="25"/>
      <c r="S6" s="25"/>
    </row>
    <row r="7" spans="1:20" ht="19.5" hidden="1" customHeight="1" thickBot="1" x14ac:dyDescent="0.4">
      <c r="B7" t="s">
        <v>51</v>
      </c>
      <c r="C7" t="s">
        <v>46</v>
      </c>
      <c r="D7" t="s">
        <v>47</v>
      </c>
      <c r="H7" t="s">
        <v>32</v>
      </c>
      <c r="I7" t="s">
        <v>42</v>
      </c>
      <c r="J7" t="s">
        <v>43</v>
      </c>
      <c r="K7" t="s">
        <v>36</v>
      </c>
      <c r="L7" t="s">
        <v>46</v>
      </c>
      <c r="O7" t="s">
        <v>48</v>
      </c>
      <c r="P7" t="s">
        <v>48</v>
      </c>
      <c r="Q7" t="s">
        <v>69</v>
      </c>
      <c r="T7"/>
    </row>
    <row r="8" spans="1:20" ht="46.5" customHeight="1" thickBot="1" x14ac:dyDescent="0.4">
      <c r="A8" s="60" t="s">
        <v>0</v>
      </c>
      <c r="B8" s="60" t="s">
        <v>19</v>
      </c>
      <c r="C8" s="46" t="s">
        <v>86</v>
      </c>
      <c r="D8" s="47"/>
      <c r="E8" s="47"/>
      <c r="F8" s="48"/>
      <c r="G8" s="30"/>
      <c r="H8" s="30"/>
      <c r="I8" s="30"/>
      <c r="J8" s="30"/>
      <c r="K8" s="31"/>
      <c r="L8" s="46" t="s">
        <v>83</v>
      </c>
      <c r="M8" s="47"/>
      <c r="N8" s="47"/>
      <c r="O8" s="47"/>
      <c r="P8" s="48"/>
      <c r="Q8" s="46" t="s">
        <v>84</v>
      </c>
      <c r="R8" s="47"/>
      <c r="S8" s="48"/>
      <c r="T8" s="7"/>
    </row>
    <row r="9" spans="1:20" ht="27.75" customHeight="1" thickBot="1" x14ac:dyDescent="0.4">
      <c r="A9" s="61"/>
      <c r="B9" s="61"/>
      <c r="C9" s="49"/>
      <c r="D9" s="50"/>
      <c r="E9" s="50"/>
      <c r="F9" s="51"/>
      <c r="G9" s="58" t="s">
        <v>52</v>
      </c>
      <c r="H9" s="66" t="s">
        <v>16</v>
      </c>
      <c r="I9" s="67"/>
      <c r="J9" s="68"/>
      <c r="K9" s="60" t="s">
        <v>15</v>
      </c>
      <c r="L9" s="49"/>
      <c r="M9" s="50"/>
      <c r="N9" s="50"/>
      <c r="O9" s="50"/>
      <c r="P9" s="51"/>
      <c r="Q9" s="49"/>
      <c r="R9" s="50"/>
      <c r="S9" s="51"/>
      <c r="T9" s="7"/>
    </row>
    <row r="10" spans="1:20" ht="99" customHeight="1" thickBot="1" x14ac:dyDescent="0.4">
      <c r="A10" s="62"/>
      <c r="B10" s="63"/>
      <c r="C10" s="32" t="s">
        <v>20</v>
      </c>
      <c r="D10" s="32" t="s">
        <v>17</v>
      </c>
      <c r="E10" s="33" t="s">
        <v>11</v>
      </c>
      <c r="F10" s="34" t="s">
        <v>25</v>
      </c>
      <c r="G10" s="59"/>
      <c r="H10" s="34" t="s">
        <v>13</v>
      </c>
      <c r="I10" s="35" t="s">
        <v>12</v>
      </c>
      <c r="J10" s="34" t="s">
        <v>14</v>
      </c>
      <c r="K10" s="63"/>
      <c r="L10" s="36" t="s">
        <v>13</v>
      </c>
      <c r="M10" s="37" t="s">
        <v>21</v>
      </c>
      <c r="N10" s="33" t="s">
        <v>11</v>
      </c>
      <c r="O10" s="32" t="s">
        <v>22</v>
      </c>
      <c r="P10" s="32" t="s">
        <v>23</v>
      </c>
      <c r="Q10" s="38" t="s">
        <v>1</v>
      </c>
      <c r="R10" s="39" t="s">
        <v>2</v>
      </c>
      <c r="S10" s="39" t="s">
        <v>3</v>
      </c>
      <c r="T10" s="7"/>
    </row>
    <row r="11" spans="1:20" ht="31.5" thickBot="1" x14ac:dyDescent="0.4">
      <c r="A11" s="40">
        <v>1</v>
      </c>
      <c r="B11" s="41">
        <v>2</v>
      </c>
      <c r="C11" s="38">
        <v>3</v>
      </c>
      <c r="D11" s="38">
        <v>4</v>
      </c>
      <c r="E11" s="38" t="s">
        <v>24</v>
      </c>
      <c r="F11" s="41" t="s">
        <v>30</v>
      </c>
      <c r="G11" s="42" t="s">
        <v>26</v>
      </c>
      <c r="H11" s="38" t="s">
        <v>35</v>
      </c>
      <c r="I11" s="38">
        <v>9</v>
      </c>
      <c r="J11" s="38">
        <v>10</v>
      </c>
      <c r="K11" s="38">
        <v>11</v>
      </c>
      <c r="L11" s="38" t="s">
        <v>27</v>
      </c>
      <c r="M11" s="38" t="s">
        <v>29</v>
      </c>
      <c r="N11" s="38" t="s">
        <v>28</v>
      </c>
      <c r="O11" s="38">
        <v>15</v>
      </c>
      <c r="P11" s="38">
        <v>16</v>
      </c>
      <c r="Q11" s="38">
        <v>17</v>
      </c>
      <c r="R11" s="35">
        <v>18</v>
      </c>
      <c r="S11" s="35">
        <v>19</v>
      </c>
      <c r="T11" s="7"/>
    </row>
    <row r="12" spans="1:20" ht="16" thickBot="1" x14ac:dyDescent="0.4">
      <c r="A12" s="9" t="s">
        <v>38</v>
      </c>
      <c r="B12" s="64">
        <v>25011823</v>
      </c>
      <c r="C12" s="10">
        <f>5320130.65+938846.36</f>
        <v>6258977.0100000007</v>
      </c>
      <c r="D12" s="10">
        <f>C12+9907814.97+938846.36</f>
        <v>17105638.34</v>
      </c>
      <c r="E12" s="14">
        <f>C12/B12</f>
        <v>0.25024073655087037</v>
      </c>
      <c r="F12" s="18">
        <f>L12/C12</f>
        <v>4.7387279027567474E-2</v>
      </c>
      <c r="G12" s="10">
        <f>IF(H12&gt;K12,K12,H12)</f>
        <v>823747.61</v>
      </c>
      <c r="H12" s="10">
        <f>I12+J12</f>
        <v>823747.61</v>
      </c>
      <c r="I12" s="10">
        <v>380720.01</v>
      </c>
      <c r="J12" s="10">
        <v>443027.6</v>
      </c>
      <c r="K12" s="10">
        <v>2317735.7200000002</v>
      </c>
      <c r="L12" s="10">
        <f>O12+P12</f>
        <v>296595.89</v>
      </c>
      <c r="M12" s="16">
        <f>L12/G12</f>
        <v>0.36005675330578502</v>
      </c>
      <c r="N12" s="14">
        <f>L12/B12</f>
        <v>1.1858227607000098E-2</v>
      </c>
      <c r="O12" s="10">
        <f>121401.17+21423.74</f>
        <v>142824.91</v>
      </c>
      <c r="P12" s="10">
        <f>130705.38+23065.6</f>
        <v>153770.98000000001</v>
      </c>
      <c r="Q12" s="10">
        <f>R12+S12</f>
        <v>86135.390000000029</v>
      </c>
      <c r="R12" s="17">
        <f>O12-DME!O12</f>
        <v>38672.270000000004</v>
      </c>
      <c r="S12" s="17">
        <f>P12-DME!P12</f>
        <v>47463.120000000024</v>
      </c>
      <c r="T12" s="7"/>
    </row>
    <row r="13" spans="1:20" ht="16" thickBot="1" x14ac:dyDescent="0.4">
      <c r="A13" s="9" t="s">
        <v>39</v>
      </c>
      <c r="B13" s="65"/>
      <c r="C13" s="10">
        <f>9942839.77+1754618.78</f>
        <v>11697458.549999999</v>
      </c>
      <c r="D13" s="10">
        <v>90477392.900000006</v>
      </c>
      <c r="E13" s="14">
        <f>C13/B12</f>
        <v>0.46767716811365567</v>
      </c>
      <c r="F13" s="18">
        <f>L13/C13</f>
        <v>6.0819407648168164E-2</v>
      </c>
      <c r="G13" s="10">
        <f>IF(H13&gt;K13,K13,H13)</f>
        <v>738947.89</v>
      </c>
      <c r="H13" s="10">
        <f>I13+J13</f>
        <v>738947.89</v>
      </c>
      <c r="I13" s="10">
        <v>217510.26</v>
      </c>
      <c r="J13" s="10">
        <v>521437.63</v>
      </c>
      <c r="K13" s="10">
        <v>1075062.5</v>
      </c>
      <c r="L13" s="10">
        <f>O13+P13</f>
        <v>711432.5</v>
      </c>
      <c r="M13" s="16">
        <f>L13/G13</f>
        <v>0.96276409964442822</v>
      </c>
      <c r="N13" s="14">
        <f>L13/B12</f>
        <v>2.8443848335245294E-2</v>
      </c>
      <c r="O13" s="10">
        <f>250267.8+44164.92</f>
        <v>294432.71999999997</v>
      </c>
      <c r="P13" s="10">
        <f>354449.82+62549.96</f>
        <v>416999.78</v>
      </c>
      <c r="Q13" s="10">
        <f>R13+S13</f>
        <v>299847.86</v>
      </c>
      <c r="R13" s="17">
        <f>O13-DME!O13</f>
        <v>92043.939999999973</v>
      </c>
      <c r="S13" s="17">
        <f>P13-DME!P13</f>
        <v>207803.92000000004</v>
      </c>
      <c r="T13" s="7"/>
    </row>
    <row r="14" spans="1:20" ht="16" thickBot="1" x14ac:dyDescent="0.4">
      <c r="A14" s="43" t="s">
        <v>1</v>
      </c>
      <c r="B14" s="23">
        <f>B12</f>
        <v>25011823</v>
      </c>
      <c r="C14" s="20">
        <f>SUM(C12:C13)</f>
        <v>17956435.559999999</v>
      </c>
      <c r="D14" s="20">
        <f>SUM(D13:D13)</f>
        <v>90477392.900000006</v>
      </c>
      <c r="E14" s="21">
        <f>C14/B14</f>
        <v>0.71791790466452599</v>
      </c>
      <c r="F14" s="22">
        <f t="shared" ref="F14" si="0">L14/C14</f>
        <v>5.6137443683171612E-2</v>
      </c>
      <c r="G14" s="20">
        <f>SUM(G12:G13)</f>
        <v>1562695.5</v>
      </c>
      <c r="H14" s="20">
        <f>SUM(H12:H13)</f>
        <v>1562695.5</v>
      </c>
      <c r="I14" s="20">
        <f>SUM(I12:I13)</f>
        <v>598230.27</v>
      </c>
      <c r="J14" s="20">
        <f>SUM(J12:J13)</f>
        <v>964465.23</v>
      </c>
      <c r="K14" s="20">
        <f>SUM(K12:K13)</f>
        <v>3392798.22</v>
      </c>
      <c r="L14" s="20">
        <f>L13+L12</f>
        <v>1008028.39</v>
      </c>
      <c r="M14" s="21">
        <f>L14/G14</f>
        <v>0.64505746001060349</v>
      </c>
      <c r="N14" s="21">
        <f t="shared" ref="N14" si="1">L14/B14</f>
        <v>4.0302075942245393E-2</v>
      </c>
      <c r="O14" s="20">
        <f>SUM(O12:O13)</f>
        <v>437257.63</v>
      </c>
      <c r="P14" s="20">
        <f>SUM(P12:P13)</f>
        <v>570770.76</v>
      </c>
      <c r="Q14" s="20">
        <f>SUM(Q12:Q13)</f>
        <v>385983.25</v>
      </c>
      <c r="R14" s="20">
        <f>SUM(R12:R13)</f>
        <v>130716.20999999998</v>
      </c>
      <c r="S14" s="20">
        <f>SUM(S12:S13)</f>
        <v>255267.04000000007</v>
      </c>
      <c r="T14" s="7"/>
    </row>
    <row r="16" spans="1:20" ht="35.25" customHeight="1" x14ac:dyDescent="0.35">
      <c r="A16" s="52" t="s">
        <v>68</v>
      </c>
      <c r="B16" s="52"/>
      <c r="C16" s="52"/>
      <c r="D16" s="52"/>
      <c r="E16" s="52"/>
      <c r="F16" s="52"/>
      <c r="G16" s="52"/>
      <c r="H16" s="52"/>
      <c r="I16" s="52"/>
      <c r="J16" s="52"/>
      <c r="K16" s="52"/>
      <c r="L16" s="52"/>
      <c r="M16" s="52"/>
      <c r="N16" s="52"/>
      <c r="O16" s="52"/>
      <c r="P16" s="52"/>
      <c r="Q16" s="52"/>
      <c r="R16" s="52"/>
      <c r="S16" s="52"/>
    </row>
    <row r="17" spans="1:20" ht="23.25" customHeight="1" x14ac:dyDescent="0.35">
      <c r="A17" s="52" t="s">
        <v>40</v>
      </c>
      <c r="B17" s="52"/>
      <c r="C17" s="52"/>
      <c r="D17" s="52"/>
      <c r="E17" s="52"/>
      <c r="F17" s="52"/>
      <c r="G17" s="52"/>
      <c r="H17" s="52"/>
      <c r="I17" s="52"/>
      <c r="J17" s="52"/>
      <c r="K17" s="52"/>
      <c r="L17" s="52"/>
      <c r="M17" s="52"/>
      <c r="N17" s="52"/>
      <c r="O17" s="52"/>
      <c r="P17" s="52"/>
      <c r="Q17" s="52"/>
      <c r="R17" s="52"/>
      <c r="S17" s="52"/>
    </row>
    <row r="18" spans="1:20" ht="83.25" customHeight="1" x14ac:dyDescent="0.35">
      <c r="A18" s="53" t="s">
        <v>41</v>
      </c>
      <c r="B18" s="54"/>
      <c r="C18" s="54"/>
      <c r="D18" s="54"/>
      <c r="E18" s="54"/>
      <c r="F18" s="54"/>
      <c r="G18" s="54"/>
      <c r="H18" s="54"/>
      <c r="I18" s="54"/>
      <c r="J18" s="54"/>
      <c r="K18" s="54"/>
      <c r="L18" s="54"/>
      <c r="M18" s="54"/>
      <c r="N18" s="54"/>
      <c r="O18" s="54"/>
      <c r="P18" s="54"/>
      <c r="Q18" s="54"/>
      <c r="R18" s="54"/>
      <c r="S18" s="54"/>
    </row>
    <row r="19" spans="1:20" ht="16.5" customHeight="1" x14ac:dyDescent="0.35">
      <c r="A19" s="52" t="s">
        <v>89</v>
      </c>
      <c r="B19" s="52"/>
      <c r="C19" s="52"/>
      <c r="D19" s="52"/>
      <c r="E19" s="52"/>
      <c r="F19" s="52"/>
      <c r="G19" s="52"/>
      <c r="H19" s="26"/>
      <c r="I19" s="26"/>
      <c r="J19" s="26"/>
      <c r="K19" s="26"/>
      <c r="L19" s="26"/>
      <c r="M19" s="26"/>
      <c r="N19" s="26"/>
      <c r="O19" s="26"/>
      <c r="P19" s="26"/>
      <c r="Q19" s="26"/>
      <c r="R19" s="26"/>
      <c r="S19" s="26"/>
      <c r="T19"/>
    </row>
    <row r="20" spans="1:20" x14ac:dyDescent="0.35">
      <c r="A20" s="6" t="s">
        <v>44</v>
      </c>
      <c r="B20" s="5"/>
      <c r="C20" s="5"/>
      <c r="D20" s="5"/>
      <c r="E20" s="5"/>
      <c r="F20" s="5"/>
      <c r="G20" s="5"/>
      <c r="H20" s="5"/>
      <c r="I20" s="5"/>
      <c r="J20" s="5"/>
      <c r="K20" s="5"/>
      <c r="L20" s="5"/>
      <c r="M20" s="5"/>
      <c r="N20" s="5"/>
      <c r="O20" s="5"/>
      <c r="P20" s="5"/>
      <c r="Q20" s="5"/>
      <c r="R20" s="5"/>
      <c r="S20" s="5"/>
      <c r="T20"/>
    </row>
  </sheetData>
  <mergeCells count="14">
    <mergeCell ref="B12:B13"/>
    <mergeCell ref="A16:S16"/>
    <mergeCell ref="A17:S17"/>
    <mergeCell ref="A18:S18"/>
    <mergeCell ref="A19:G19"/>
    <mergeCell ref="A5:S5"/>
    <mergeCell ref="A8:A10"/>
    <mergeCell ref="B8:B10"/>
    <mergeCell ref="C8:F9"/>
    <mergeCell ref="L8:P9"/>
    <mergeCell ref="Q8:S9"/>
    <mergeCell ref="G9:G10"/>
    <mergeCell ref="H9:J9"/>
    <mergeCell ref="K9:K10"/>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769CB3625653B469456ADAF54D4F4F2" ma:contentTypeVersion="18" ma:contentTypeDescription="Izveidot jaunu dokumentu." ma:contentTypeScope="" ma:versionID="e06384fd50a500a872840aef6003b52d">
  <xsd:schema xmlns:xsd="http://www.w3.org/2001/XMLSchema" xmlns:xs="http://www.w3.org/2001/XMLSchema" xmlns:p="http://schemas.microsoft.com/office/2006/metadata/properties" xmlns:ns2="0403aeb7-10dd-41a9-8f8e-1fc0ec5546a5" targetNamespace="http://schemas.microsoft.com/office/2006/metadata/properties" ma:root="true" ma:fieldsID="753abc82a1afd51520ba218459619623" ns2:_="">
    <xsd:import namespace="0403aeb7-10dd-41a9-8f8e-1fc0ec5546a5"/>
    <xsd:element name="properties">
      <xsd:complexType>
        <xsd:sequence>
          <xsd:element name="documentManagement">
            <xsd:complexType>
              <xsd:all>
                <xsd:element ref="ns2:kartiba" minOccurs="0"/>
                <xsd:element ref="ns2:Apraksts" minOccurs="0"/>
                <xsd:element ref="ns2:Kom" minOccurs="0"/>
                <xsd:element ref="ns2:Se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3aeb7-10dd-41a9-8f8e-1fc0ec5546a5" elementFormDefault="qualified">
    <xsd:import namespace="http://schemas.microsoft.com/office/2006/documentManagement/types"/>
    <xsd:import namespace="http://schemas.microsoft.com/office/infopath/2007/PartnerControls"/>
    <xsd:element name="kartiba" ma:index="8" nillable="true" ma:displayName="Kartiba" ma:list="{3f24fc9e-4815-407b-a964-6513ba8ad655}" ma:internalName="kartiba" ma:showField="Title">
      <xsd:simpleType>
        <xsd:restriction base="dms:Lookup"/>
      </xsd:simpleType>
    </xsd:element>
    <xsd:element name="Apraksts" ma:index="9" nillable="true" ma:displayName="Dokumenta apraksts" ma:internalName="Apraksts">
      <xsd:simpleType>
        <xsd:restriction base="dms:Note">
          <xsd:maxLength value="255"/>
        </xsd:restriction>
      </xsd:simpleType>
    </xsd:element>
    <xsd:element name="Kom" ma:index="10" nillable="true" ma:displayName="Komiteja vai apakškomiteja" ma:hidden="true" ma:internalName="Kom" ma:readOnly="false">
      <xsd:simpleType>
        <xsd:restriction base="dms:Text">
          <xsd:maxLength value="255"/>
        </xsd:restriction>
      </xsd:simpleType>
    </xsd:element>
    <xsd:element name="Sede" ma:index="11" nillable="true" ma:displayName="Sēdes nosaukums" ma:hidden="true" ma:internalName="Sed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de xmlns="0403aeb7-10dd-41a9-8f8e-1fc0ec5546a5">2019_UK_informativie_materiali</Sede>
    <Kom xmlns="0403aeb7-10dd-41a9-8f8e-1fc0ec5546a5">UK 2014-2020</Kom>
    <kartiba xmlns="0403aeb7-10dd-41a9-8f8e-1fc0ec5546a5">356</kartiba>
    <Apraksts xmlns="0403aeb7-10dd-41a9-8f8e-1fc0ec5546a5">AS “Attīstības finanšu institūcijas Altum” vadības izmaksas </Apraks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6B3D3-4A24-42DB-B763-82BF4DFCD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3aeb7-10dd-41a9-8f8e-1fc0ec554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263D43-01EC-4E7A-BA7D-706DBFAD9027}">
  <ds:schemaRefs>
    <ds:schemaRef ds:uri="http://schemas.openxmlformats.org/package/2006/metadata/core-properties"/>
    <ds:schemaRef ds:uri="http://schemas.microsoft.com/office/2006/metadata/properties"/>
    <ds:schemaRef ds:uri="http://purl.org/dc/elements/1.1/"/>
    <ds:schemaRef ds:uri="0403aeb7-10dd-41a9-8f8e-1fc0ec5546a5"/>
    <ds:schemaRef ds:uri="http://purl.org/dc/dcmitype/"/>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8C36286-B8ED-4624-A9E4-68DB6B6E7585}">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FOF</vt:lpstr>
      <vt:lpstr>DME</vt:lpstr>
      <vt:lpstr>FOF 2022</vt:lpstr>
      <vt:lpstr>DME 2022</vt:lpstr>
      <vt:lpstr>DME!Print_Area</vt:lpstr>
      <vt:lpstr>'DME 2022'!Print_Area</vt:lpstr>
      <vt:lpstr>FOF!Print_Area</vt:lpstr>
      <vt:lpstr>'FOF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Aigars Davidovičs</dc:creator>
  <cp:lastModifiedBy>Liene Dzelzkalēja</cp:lastModifiedBy>
  <cp:lastPrinted>2019-12-03T12:23:39Z</cp:lastPrinted>
  <dcterms:created xsi:type="dcterms:W3CDTF">2018-11-13T13:52:29Z</dcterms:created>
  <dcterms:modified xsi:type="dcterms:W3CDTF">2024-02-05T09:22:40Z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0x010100F769CB3625653B469456ADAF54D4F4F2</vt:lpwstr>
  </property>
  <property fmtid="{D5CDD505-2E9C-101B-9397-08002B2CF9AE}" pid="3" name="WorkflowChangePath">
    <vt:lpwstr>62de6b22-8c5c-435a-b322-e6d4ca62170b,3;62de6b22-8c5c-435a-b322-e6d4ca62170b,3;</vt:lpwstr>
  </property>
</Properties>
</file>